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20740" windowHeight="10520" activeTab="1"/>
  </bookViews>
  <sheets>
    <sheet name="LOAN COST CALCULATION" sheetId="1" r:id="rId1"/>
    <sheet name="CASH FLOWS TABLE" sheetId="2" r:id="rId2"/>
    <sheet name="PROFIT &amp; LOSS TABLE" sheetId="3" r:id="rId3"/>
  </sheets>
  <externalReferences>
    <externalReference r:id="rId6"/>
  </externalReferences>
  <definedNames>
    <definedName name="BOB" localSheetId="1">#REF!</definedName>
    <definedName name="BOB">#REF!</definedName>
    <definedName name="_xlnm.Print_Titles" localSheetId="1">'CASH FLOWS TABLE'!$2:$2</definedName>
    <definedName name="_xlnm.Print_Titles" localSheetId="2">'PROFIT &amp; LOSS TABLE'!$2:$2</definedName>
    <definedName name="_xlnm.Print_Area" localSheetId="1">'CASH FLOWS TABLE'!$B$2:$J$30</definedName>
    <definedName name="_xlnm.Print_Area" localSheetId="0">'LOAN COST CALCULATION'!$A$1:$H$69</definedName>
    <definedName name="_xlnm.Print_Area" localSheetId="2">'PROFIT &amp; LOSS TABLE'!$A$1:$J$45</definedName>
  </definedNames>
  <calcPr fullCalcOnLoad="1"/>
</workbook>
</file>

<file path=xl/comments2.xml><?xml version="1.0" encoding="utf-8"?>
<comments xmlns="http://schemas.openxmlformats.org/spreadsheetml/2006/main">
  <authors>
    <author>Joel Nzali</author>
  </authors>
  <commentList>
    <comment ref="B23" authorId="0">
      <text>
        <r>
          <rPr>
            <b/>
            <sz val="12"/>
            <rFont val="Cambria"/>
            <family val="1"/>
          </rPr>
          <t>Information is available in the table : 
LOAN COST CALCULATION</t>
        </r>
      </text>
    </comment>
    <comment ref="B24" authorId="0">
      <text>
        <r>
          <rPr>
            <b/>
            <sz val="12"/>
            <rFont val="Cambria"/>
            <family val="1"/>
          </rPr>
          <t>Please insert constitution capital value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Karnemelk</author>
    <author>Alpha SC</author>
    <author>Joel Nzali</author>
  </authors>
  <commentList>
    <comment ref="B67" authorId="0">
      <text>
        <r>
          <rPr>
            <b/>
            <sz val="12"/>
            <rFont val="Cambria"/>
            <family val="1"/>
          </rPr>
          <t>This ratio answers the question:
Is the activity profitable enough to cover loan payback without issues ?</t>
        </r>
      </text>
    </comment>
    <comment ref="B70" authorId="0">
      <text>
        <r>
          <rPr>
            <b/>
            <sz val="12"/>
            <rFont val="Cambria"/>
            <family val="1"/>
          </rPr>
          <t>This ratio answers the question:
Is equity capital relevant compared with company long-term debts ?</t>
        </r>
      </text>
    </comment>
    <comment ref="B72" authorId="0">
      <text>
        <r>
          <rPr>
            <b/>
            <sz val="12"/>
            <rFont val="Cambria"/>
            <family val="1"/>
          </rPr>
          <t>This ratio answers the question:
How long (years) would it take the company to payback the loan thanks to the money generated by the activity ?</t>
        </r>
      </text>
    </comment>
    <comment ref="B75" authorId="0">
      <text>
        <r>
          <rPr>
            <b/>
            <sz val="12"/>
            <rFont val="Cambria"/>
            <family val="1"/>
          </rPr>
          <t>EBITDA / (EQUITY + DEBTS)</t>
        </r>
      </text>
    </comment>
    <comment ref="B76" authorId="0">
      <text>
        <r>
          <rPr>
            <b/>
            <sz val="12"/>
            <rFont val="Cambria"/>
            <family val="1"/>
          </rPr>
          <t>NET RESULT / EQUITY</t>
        </r>
      </text>
    </comment>
    <comment ref="B21" authorId="1">
      <text>
        <r>
          <rPr>
            <sz val="14"/>
            <rFont val="Cambria"/>
            <family val="1"/>
          </rPr>
          <t>Food, pharmacy, postmail, etc...</t>
        </r>
      </text>
    </comment>
    <comment ref="B22" authorId="1">
      <text>
        <r>
          <rPr>
            <sz val="14"/>
            <rFont val="Cambria"/>
            <family val="1"/>
          </rPr>
          <t>Insurances, gas, electricity, water, leasing, rental, cleaning, telephone, internet, etc...</t>
        </r>
      </text>
    </comment>
    <comment ref="B23" authorId="1">
      <text>
        <r>
          <rPr>
            <sz val="14"/>
            <rFont val="Cambria"/>
            <family val="1"/>
          </rPr>
          <t>Consultants &amp; advisors, Lawyers, Technical experts, accountants, auditors, etc...</t>
        </r>
      </text>
    </comment>
    <comment ref="B33" authorId="2">
      <text>
        <r>
          <rPr>
            <b/>
            <sz val="12"/>
            <rFont val="Cambria"/>
            <family val="1"/>
          </rPr>
          <t xml:space="preserve">Special operations includes Provisions for potential liabilities
</t>
        </r>
        <r>
          <rPr>
            <sz val="12"/>
            <rFont val="Cambria"/>
            <family val="1"/>
          </rPr>
          <t xml:space="preserve">
</t>
        </r>
      </text>
    </comment>
    <comment ref="B80" authorId="2">
      <text>
        <r>
          <rPr>
            <b/>
            <sz val="12"/>
            <rFont val="Cambria"/>
            <family val="1"/>
          </rPr>
          <t>Minimum turnover requested to avoid bankrupcy</t>
        </r>
      </text>
    </comment>
    <comment ref="B31" authorId="2">
      <text>
        <r>
          <rPr>
            <sz val="12"/>
            <rFont val="Cambria"/>
            <family val="1"/>
          </rPr>
          <t>Interested generated from short-term  placement of company cash funds available (3% by year)</t>
        </r>
        <r>
          <rPr>
            <sz val="9"/>
            <rFont val="Tahoma"/>
            <family val="2"/>
          </rPr>
          <t xml:space="preserve">
</t>
        </r>
      </text>
    </comment>
    <comment ref="B30" authorId="2">
      <text>
        <r>
          <rPr>
            <b/>
            <sz val="12"/>
            <rFont val="Cambria"/>
            <family val="1"/>
          </rPr>
          <t>Information is available in the table : 
LOAN COST CALCULATION</t>
        </r>
      </text>
    </comment>
    <comment ref="B77" authorId="2">
      <text>
        <r>
          <rPr>
            <b/>
            <sz val="12"/>
            <rFont val="Cambria"/>
            <family val="1"/>
          </rPr>
          <t>Sum of (interest on loan + dividends) / loan principal value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<sst xmlns="http://schemas.openxmlformats.org/spreadsheetml/2006/main" count="138" uniqueCount="119">
  <si>
    <t>BESOIN EN FONDS DE ROULEMENT MOYEN</t>
  </si>
  <si>
    <t>RATIO FR / BFR</t>
  </si>
  <si>
    <t>RATIO BFR / CA</t>
  </si>
  <si>
    <t xml:space="preserve"> = &lt; 3</t>
  </si>
  <si>
    <t>&lt; 3</t>
  </si>
  <si>
    <t>&gt; 50%</t>
  </si>
  <si>
    <t>TURNOVER INCREASE</t>
  </si>
  <si>
    <t>CUMULATED</t>
  </si>
  <si>
    <t>YEARLY TURNOVER &amp; OTHER INCOMES</t>
  </si>
  <si>
    <t>Raw material</t>
  </si>
  <si>
    <t>Production / Construction / Development costs</t>
  </si>
  <si>
    <t>Other raw material &amp; production charges (1)</t>
  </si>
  <si>
    <t>Other raw material &amp; production charges (2)</t>
  </si>
  <si>
    <t>Other raw material &amp; production charges (3)</t>
  </si>
  <si>
    <t>GROSS MARGIN</t>
  </si>
  <si>
    <t>SALES &amp; MARKETING COSTS</t>
  </si>
  <si>
    <t>ADDED VALUE</t>
  </si>
  <si>
    <t>EBITDA</t>
  </si>
  <si>
    <t>AMORTIZATION &amp; DEPRECIATION</t>
  </si>
  <si>
    <t>EBIT</t>
  </si>
  <si>
    <t>FINANCIAL CHARGES</t>
  </si>
  <si>
    <t>FINANCIAL INCOMES (-)</t>
  </si>
  <si>
    <t>VPM</t>
  </si>
  <si>
    <t>VALUE</t>
  </si>
  <si>
    <t>PERIOD (months)</t>
  </si>
  <si>
    <t>RATE</t>
  </si>
  <si>
    <t>INT. PAYBACK</t>
  </si>
  <si>
    <t>PRINC. PAYBACK</t>
  </si>
  <si>
    <t>REMAINING</t>
  </si>
  <si>
    <t>BALANCE</t>
  </si>
  <si>
    <t>TOTAL PRINCIPAL PAID</t>
  </si>
  <si>
    <t>TOTAL INTEREST PAID</t>
  </si>
  <si>
    <t>TOTAL COST</t>
  </si>
  <si>
    <t>FINANCIAL RESULT</t>
  </si>
  <si>
    <t>SPECIAL OPERATIONS</t>
  </si>
  <si>
    <t>EBT</t>
  </si>
  <si>
    <t>TAXES ON BENEFIT</t>
  </si>
  <si>
    <t>RATE OF TAXES ON BENEFIT</t>
  </si>
  <si>
    <t>NET RESULT</t>
  </si>
  <si>
    <t>CUMULATED NET RESULT</t>
  </si>
  <si>
    <t>SELF-FINANCING CAPACITY</t>
  </si>
  <si>
    <t>VALUE OF EQUITY CAPITAL</t>
  </si>
  <si>
    <t>LOAN PRINCIPAL REMAINING</t>
  </si>
  <si>
    <t>RESERVE</t>
  </si>
  <si>
    <t>CUMULATED RESERVE</t>
  </si>
  <si>
    <t>FINANCIAL ANALYSIS RATIOS</t>
  </si>
  <si>
    <t>ACTIVITY MONITORING RATIOS</t>
  </si>
  <si>
    <t>NET RESULT INCREASE</t>
  </si>
  <si>
    <t>EBITDA INCREASE</t>
  </si>
  <si>
    <t>FINANCIAL RESULT INCREASE</t>
  </si>
  <si>
    <t>SALES PROFITABILITY RATIO</t>
  </si>
  <si>
    <t>GROSS MARGIN RATIO</t>
  </si>
  <si>
    <t>INVESTMENTS MONITORING RATIOS</t>
  </si>
  <si>
    <t>INVESTMENTS INCREASE</t>
  </si>
  <si>
    <t>INVESTMENTS TYPOLOGY</t>
  </si>
  <si>
    <t>FONDS DE ROULEMENT</t>
  </si>
  <si>
    <t>Average</t>
  </si>
  <si>
    <t>Critical</t>
  </si>
  <si>
    <t xml:space="preserve"> =&lt; 3 or 4 years</t>
  </si>
  <si>
    <t>&gt; 4 years</t>
  </si>
  <si>
    <t>Ratio DEBTS / EBITDA</t>
  </si>
  <si>
    <t>Ratio LONG TERM DEBTS / EQUITY CAPITAL</t>
  </si>
  <si>
    <t>DYNAMIC PAYBACK CAPACITY</t>
  </si>
  <si>
    <t>PROFITABILITY RATIOS</t>
  </si>
  <si>
    <t>ECONOMICAL PROFITABILITY</t>
  </si>
  <si>
    <t>RETURN ON EQUITY</t>
  </si>
  <si>
    <t>RISKS ANALYSIS</t>
  </si>
  <si>
    <t>VARIANCE TO DEATH POINT</t>
  </si>
  <si>
    <t>DEATH POINT (break-even point)</t>
  </si>
  <si>
    <t>7Y FINANCIAL PLANNING</t>
  </si>
  <si>
    <t>OPERATING CASH FLOWS</t>
  </si>
  <si>
    <t>INVESTING CASH FLOWS</t>
  </si>
  <si>
    <t>FINANCING CASH FLOWS</t>
  </si>
  <si>
    <t>FINANCING MONITORING RATIOS</t>
  </si>
  <si>
    <t>INVESTMENT : BUILDING, LAND &amp; PROPERTIES</t>
  </si>
  <si>
    <t>INVESTMENT : TECHNICAL &amp; INDUSTRIAL FACILITIES</t>
  </si>
  <si>
    <t>INVESTMENT : INDUSTRIAL MACHINES &amp; EQUIPMENT</t>
  </si>
  <si>
    <t>INVESTMENT : OFFICE EQUIPMENT &amp; DEVICES</t>
  </si>
  <si>
    <t>INVESTMENT : TRANSPORATION, CARS &amp; TRUCKS</t>
  </si>
  <si>
    <t>INVESTMENT : COMPANY SETTLEMENT FEES</t>
  </si>
  <si>
    <t>INVESTMENT : START-UP COSTS</t>
  </si>
  <si>
    <t>INVESTMENT : R&amp;D, PATENTS &amp; RELATED</t>
  </si>
  <si>
    <t>SUPPLIERS CASH ADVANCE DEPOSITS</t>
  </si>
  <si>
    <t>PAYBACK OF LOAN PRINCIPAL</t>
  </si>
  <si>
    <t>DIVIDENDS PAID TO SHAREHOLDERS</t>
  </si>
  <si>
    <t>EBIT (-)</t>
  </si>
  <si>
    <t>PAYBACK OF LOAN INTEREST</t>
  </si>
  <si>
    <t>EQUIPMENT &amp; INFRASTRUCTURE COSTS</t>
  </si>
  <si>
    <t>ADMINISTRATION COSTS</t>
  </si>
  <si>
    <t>EXTERNAL COSTS</t>
  </si>
  <si>
    <t>ADVISORY, ACCOUNTING &amp; LEGAL COSTS</t>
  </si>
  <si>
    <t>HUMAN RESOURCES COSTS</t>
  </si>
  <si>
    <t>N/A</t>
  </si>
  <si>
    <t>Ratio EBIT / FINANCIAL COSTS</t>
  </si>
  <si>
    <t>Ratio FINANCIAL COSTS / EBITDA</t>
  </si>
  <si>
    <t>Ratio FINANCIAL COSTS / TURNOVER</t>
  </si>
  <si>
    <t>&lt;30%</t>
  </si>
  <si>
    <t>&gt; = 6</t>
  </si>
  <si>
    <t>= &lt; 2%</t>
  </si>
  <si>
    <t>&gt; 3%</t>
  </si>
  <si>
    <r>
      <t xml:space="preserve">Incomes source 1 : </t>
    </r>
    <r>
      <rPr>
        <sz val="12"/>
        <color indexed="12"/>
        <rFont val="Cambria"/>
        <family val="1"/>
      </rPr>
      <t>please precise</t>
    </r>
  </si>
  <si>
    <r>
      <t xml:space="preserve">Incomes source 2 : </t>
    </r>
    <r>
      <rPr>
        <sz val="12"/>
        <color indexed="12"/>
        <rFont val="Cambria"/>
        <family val="1"/>
      </rPr>
      <t>please precise</t>
    </r>
  </si>
  <si>
    <r>
      <t xml:space="preserve">Incomes source 3 : </t>
    </r>
    <r>
      <rPr>
        <sz val="12"/>
        <color indexed="12"/>
        <rFont val="Cambria"/>
        <family val="1"/>
      </rPr>
      <t>please precise</t>
    </r>
  </si>
  <si>
    <r>
      <t xml:space="preserve">Incomes source 4 : </t>
    </r>
    <r>
      <rPr>
        <sz val="12"/>
        <color indexed="12"/>
        <rFont val="Cambria"/>
        <family val="1"/>
      </rPr>
      <t>please precise</t>
    </r>
  </si>
  <si>
    <t>Alert level : &lt; 3%</t>
  </si>
  <si>
    <t>Alert level : &lt; 10%</t>
  </si>
  <si>
    <t>INVESTMENTS BY YEAR</t>
  </si>
  <si>
    <t>Year 1 is =&gt;</t>
  </si>
  <si>
    <r>
      <t xml:space="preserve">FINANCIAL INCOMES </t>
    </r>
    <r>
      <rPr>
        <b/>
        <sz val="12"/>
        <color indexed="10"/>
        <rFont val="Cambria"/>
        <family val="1"/>
      </rPr>
      <t>(-)</t>
    </r>
  </si>
  <si>
    <r>
      <t>STOCK VARIANCE</t>
    </r>
    <r>
      <rPr>
        <b/>
        <sz val="12"/>
        <color indexed="10"/>
        <rFont val="Cambria"/>
        <family val="1"/>
      </rPr>
      <t xml:space="preserve"> (-)</t>
    </r>
  </si>
  <si>
    <r>
      <t xml:space="preserve">RELEASE/SALE OF TANGIBLE ASSETS </t>
    </r>
    <r>
      <rPr>
        <b/>
        <sz val="12"/>
        <color indexed="10"/>
        <rFont val="Cambria"/>
        <family val="1"/>
      </rPr>
      <t>(-)</t>
    </r>
  </si>
  <si>
    <r>
      <t xml:space="preserve">SHAREHOLDERS CONTRIBUTION &amp; EQUITY </t>
    </r>
    <r>
      <rPr>
        <b/>
        <sz val="12"/>
        <color indexed="10"/>
        <rFont val="Cambria"/>
        <family val="1"/>
      </rPr>
      <t>(-)</t>
    </r>
  </si>
  <si>
    <r>
      <t xml:space="preserve">LOANS </t>
    </r>
    <r>
      <rPr>
        <b/>
        <sz val="12"/>
        <color indexed="10"/>
        <rFont val="Cambria"/>
        <family val="1"/>
      </rPr>
      <t>(-)</t>
    </r>
  </si>
  <si>
    <t>FREE CASH FLOWS (BY YEAR)</t>
  </si>
  <si>
    <t>FREE CASH FLOWS (CUMULATED)</t>
  </si>
  <si>
    <t>Alert level : +5%</t>
  </si>
  <si>
    <t>MAXIMUM AVAILABLE CASH FUNDS (bank accounts)</t>
  </si>
  <si>
    <t>CUMULATED ROI FOR LENDER</t>
  </si>
  <si>
    <t>Equity shares of lender</t>
  </si>
</sst>
</file>

<file path=xl/styles.xml><?xml version="1.0" encoding="utf-8"?>
<styleSheet xmlns="http://schemas.openxmlformats.org/spreadsheetml/2006/main">
  <numFmts count="36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0.0%"/>
    <numFmt numFmtId="181" formatCode="_-* #,##0\ &quot;€&quot;_-;\-* #,##0\ &quot;€&quot;_-;_-* &quot;-&quot;??\ &quot;€&quot;_-;_-@_-"/>
    <numFmt numFmtId="182" formatCode="0.0"/>
    <numFmt numFmtId="183" formatCode="_-[$€]* #,##0.00_-;\-[$€]* #,##0.00_-;_-[$€]* &quot;-&quot;??_-;_-@_-"/>
    <numFmt numFmtId="184" formatCode="dd\-mm\-yy;@"/>
    <numFmt numFmtId="185" formatCode="[=0]&quot;-.-&quot;\ ;[Red]\(#,##0\);#,###"/>
    <numFmt numFmtId="186" formatCode="_-* #,##0.0\ &quot;€&quot;_-;\-* #,##0.0\ &quot;€&quot;_-;_-* &quot;-&quot;??\ &quot;€&quot;_-;_-@_-"/>
    <numFmt numFmtId="187" formatCode="_-[$$-409]* #,##0.00_ ;_-[$$-409]* \-#,##0.00\ ;_-[$$-409]* &quot;-&quot;??_ ;_-@_ "/>
    <numFmt numFmtId="188" formatCode="_-[$$-409]* #,##0.0_ ;_-[$$-409]* \-#,##0.0\ ;_-[$$-409]* &quot;-&quot;??_ ;_-@_ "/>
    <numFmt numFmtId="189" formatCode="_-[$$-409]* #,##0_ ;_-[$$-409]* \-#,##0\ ;_-[$$-409]* &quot;-&quot;??_ ;_-@_ "/>
    <numFmt numFmtId="190" formatCode="_-* #,##0&quot; €&quot;_-;\-* #,##0&quot; €&quot;_-;_-* \-??&quot; €&quot;_-;_-@_-"/>
    <numFmt numFmtId="191" formatCode="#,##0.00&quot; €&quot;;[Red]\-#,##0.00&quot; €&quot;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9"/>
      <name val="Geneva"/>
      <family val="0"/>
    </font>
    <font>
      <sz val="9"/>
      <name val="N Helvetica Narrow"/>
      <family val="0"/>
    </font>
    <font>
      <sz val="12"/>
      <color indexed="12"/>
      <name val="Cambria"/>
      <family val="1"/>
    </font>
    <font>
      <sz val="9"/>
      <name val="Tahoma"/>
      <family val="2"/>
    </font>
    <font>
      <sz val="14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 Light"/>
      <family val="1"/>
    </font>
    <font>
      <sz val="12"/>
      <name val="Calibri Light"/>
      <family val="1"/>
    </font>
    <font>
      <b/>
      <sz val="12"/>
      <color indexed="9"/>
      <name val="Calibri Light"/>
      <family val="1"/>
    </font>
    <font>
      <b/>
      <sz val="12"/>
      <name val="Calibri Light"/>
      <family val="1"/>
    </font>
    <font>
      <sz val="12"/>
      <color indexed="12"/>
      <name val="Calibri Light"/>
      <family val="1"/>
    </font>
    <font>
      <b/>
      <sz val="11"/>
      <color indexed="9"/>
      <name val="Calibri Light"/>
      <family val="1"/>
    </font>
    <font>
      <b/>
      <sz val="10"/>
      <color indexed="12"/>
      <name val="Calibri Light"/>
      <family val="1"/>
    </font>
    <font>
      <b/>
      <sz val="10"/>
      <name val="Calibri Light"/>
      <family val="1"/>
    </font>
    <font>
      <b/>
      <sz val="10"/>
      <color indexed="9"/>
      <name val="Calibri Light"/>
      <family val="1"/>
    </font>
    <font>
      <sz val="10"/>
      <color indexed="10"/>
      <name val="Calibri Light"/>
      <family val="1"/>
    </font>
    <font>
      <b/>
      <sz val="10"/>
      <color indexed="10"/>
      <name val="Calibri Light"/>
      <family val="1"/>
    </font>
    <font>
      <sz val="12"/>
      <color indexed="10"/>
      <name val="Calibri Light"/>
      <family val="1"/>
    </font>
    <font>
      <sz val="11"/>
      <color indexed="10"/>
      <name val="Calibri Light"/>
      <family val="1"/>
    </font>
    <font>
      <b/>
      <sz val="12"/>
      <color indexed="10"/>
      <name val="Calibri Light"/>
      <family val="1"/>
    </font>
    <font>
      <b/>
      <sz val="12"/>
      <color indexed="12"/>
      <name val="Calibri Light"/>
      <family val="1"/>
    </font>
    <font>
      <b/>
      <sz val="13"/>
      <color indexed="9"/>
      <name val="Calibri Ligh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00CC"/>
      <name val="Calibri Light"/>
      <family val="1"/>
    </font>
    <font>
      <b/>
      <sz val="10"/>
      <color rgb="FF0000CC"/>
      <name val="Calibri Light"/>
      <family val="1"/>
    </font>
    <font>
      <sz val="12"/>
      <color rgb="FFFF0000"/>
      <name val="Calibri Light"/>
      <family val="1"/>
    </font>
    <font>
      <sz val="11"/>
      <color rgb="FFFF0000"/>
      <name val="Calibri Light"/>
      <family val="1"/>
    </font>
    <font>
      <b/>
      <sz val="12"/>
      <color theme="0"/>
      <name val="Calibri Light"/>
      <family val="1"/>
    </font>
    <font>
      <b/>
      <sz val="12"/>
      <color rgb="FFFF0000"/>
      <name val="Calibri Light"/>
      <family val="1"/>
    </font>
    <font>
      <b/>
      <sz val="12"/>
      <color rgb="FF0000CC"/>
      <name val="Calibri Light"/>
      <family val="1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2" fillId="27" borderId="3" applyNumberFormat="0" applyFont="0" applyAlignment="0" applyProtection="0"/>
    <xf numFmtId="0" fontId="47" fillId="28" borderId="1" applyNumberFormat="0" applyAlignment="0" applyProtection="0"/>
    <xf numFmtId="183" fontId="2" fillId="0" borderId="0" applyFont="0" applyFill="0" applyBorder="0" applyAlignment="0" applyProtection="0"/>
    <xf numFmtId="0" fontId="3" fillId="0" borderId="4" applyNumberFormat="0" applyAlignment="0">
      <protection/>
    </xf>
    <xf numFmtId="0" fontId="48" fillId="29" borderId="0" applyNumberFormat="0" applyBorder="0" applyAlignment="0" applyProtection="0"/>
    <xf numFmtId="171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42" fillId="0" borderId="0" applyFont="0" applyFill="0" applyBorder="0" applyAlignment="0" applyProtection="0"/>
    <xf numFmtId="186" fontId="0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10" applyNumberFormat="0" applyAlignment="0" applyProtection="0"/>
  </cellStyleXfs>
  <cellXfs count="189">
    <xf numFmtId="0" fontId="0" fillId="0" borderId="0" xfId="0" applyAlignment="1">
      <alignment/>
    </xf>
    <xf numFmtId="0" fontId="28" fillId="33" borderId="11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Alignment="1">
      <alignment/>
    </xf>
    <xf numFmtId="9" fontId="27" fillId="0" borderId="0" xfId="60" applyFont="1" applyFill="1" applyBorder="1" applyAlignment="1">
      <alignment horizontal="center"/>
    </xf>
    <xf numFmtId="0" fontId="26" fillId="0" borderId="0" xfId="0" applyFont="1" applyAlignment="1">
      <alignment/>
    </xf>
    <xf numFmtId="0" fontId="28" fillId="34" borderId="12" xfId="0" applyFont="1" applyFill="1" applyBorder="1" applyAlignment="1">
      <alignment horizontal="center"/>
    </xf>
    <xf numFmtId="189" fontId="27" fillId="0" borderId="0" xfId="60" applyNumberFormat="1" applyFont="1" applyFill="1" applyBorder="1" applyAlignment="1">
      <alignment horizontal="center"/>
    </xf>
    <xf numFmtId="189" fontId="27" fillId="0" borderId="0" xfId="0" applyNumberFormat="1" applyFont="1" applyAlignment="1">
      <alignment/>
    </xf>
    <xf numFmtId="0" fontId="28" fillId="34" borderId="13" xfId="0" applyFont="1" applyFill="1" applyBorder="1" applyAlignment="1">
      <alignment horizontal="left"/>
    </xf>
    <xf numFmtId="189" fontId="28" fillId="34" borderId="12" xfId="51" applyNumberFormat="1" applyFont="1" applyFill="1" applyBorder="1" applyAlignment="1">
      <alignment horizontal="center"/>
    </xf>
    <xf numFmtId="0" fontId="27" fillId="0" borderId="14" xfId="0" applyFont="1" applyFill="1" applyBorder="1" applyAlignment="1">
      <alignment horizontal="left"/>
    </xf>
    <xf numFmtId="189" fontId="27" fillId="0" borderId="15" xfId="51" applyNumberFormat="1" applyFont="1" applyFill="1" applyBorder="1" applyAlignment="1">
      <alignment horizontal="center"/>
    </xf>
    <xf numFmtId="189" fontId="28" fillId="33" borderId="16" xfId="51" applyNumberFormat="1" applyFont="1" applyFill="1" applyBorder="1" applyAlignment="1">
      <alignment horizontal="center"/>
    </xf>
    <xf numFmtId="0" fontId="27" fillId="0" borderId="17" xfId="0" applyFont="1" applyFill="1" applyBorder="1" applyAlignment="1">
      <alignment horizontal="left"/>
    </xf>
    <xf numFmtId="189" fontId="29" fillId="0" borderId="17" xfId="51" applyNumberFormat="1" applyFont="1" applyFill="1" applyBorder="1" applyAlignment="1">
      <alignment horizontal="center"/>
    </xf>
    <xf numFmtId="189" fontId="28" fillId="33" borderId="18" xfId="51" applyNumberFormat="1" applyFont="1" applyFill="1" applyBorder="1" applyAlignment="1">
      <alignment horizontal="center"/>
    </xf>
    <xf numFmtId="189" fontId="27" fillId="0" borderId="12" xfId="51" applyNumberFormat="1" applyFont="1" applyFill="1" applyBorder="1" applyAlignment="1">
      <alignment horizontal="center"/>
    </xf>
    <xf numFmtId="189" fontId="29" fillId="0" borderId="14" xfId="51" applyNumberFormat="1" applyFont="1" applyFill="1" applyBorder="1" applyAlignment="1">
      <alignment horizontal="center"/>
    </xf>
    <xf numFmtId="189" fontId="28" fillId="33" borderId="14" xfId="51" applyNumberFormat="1" applyFont="1" applyFill="1" applyBorder="1" applyAlignment="1">
      <alignment horizontal="center"/>
    </xf>
    <xf numFmtId="0" fontId="26" fillId="35" borderId="19" xfId="0" applyFont="1" applyFill="1" applyBorder="1" applyAlignment="1">
      <alignment/>
    </xf>
    <xf numFmtId="0" fontId="28" fillId="34" borderId="14" xfId="0" applyFont="1" applyFill="1" applyBorder="1" applyAlignment="1">
      <alignment horizontal="left"/>
    </xf>
    <xf numFmtId="181" fontId="26" fillId="0" borderId="0" xfId="0" applyNumberFormat="1" applyFont="1" applyAlignment="1">
      <alignment/>
    </xf>
    <xf numFmtId="189" fontId="27" fillId="0" borderId="0" xfId="51" applyNumberFormat="1" applyFont="1" applyAlignment="1">
      <alignment/>
    </xf>
    <xf numFmtId="189" fontId="30" fillId="0" borderId="0" xfId="60" applyNumberFormat="1" applyFont="1" applyFill="1" applyBorder="1" applyAlignment="1">
      <alignment horizontal="center"/>
    </xf>
    <xf numFmtId="181" fontId="27" fillId="0" borderId="0" xfId="0" applyNumberFormat="1" applyFont="1" applyAlignment="1">
      <alignment/>
    </xf>
    <xf numFmtId="0" fontId="29" fillId="0" borderId="20" xfId="0" applyFont="1" applyFill="1" applyBorder="1" applyAlignment="1">
      <alignment horizontal="left"/>
    </xf>
    <xf numFmtId="0" fontId="29" fillId="0" borderId="21" xfId="0" applyFont="1" applyFill="1" applyBorder="1" applyAlignment="1">
      <alignment horizontal="left"/>
    </xf>
    <xf numFmtId="180" fontId="27" fillId="0" borderId="15" xfId="60" applyNumberFormat="1" applyFont="1" applyFill="1" applyBorder="1" applyAlignment="1">
      <alignment horizontal="center"/>
    </xf>
    <xf numFmtId="180" fontId="27" fillId="0" borderId="22" xfId="6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9" fontId="27" fillId="0" borderId="23" xfId="60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9" fontId="27" fillId="0" borderId="15" xfId="60" applyFont="1" applyFill="1" applyBorder="1" applyAlignment="1">
      <alignment horizontal="center"/>
    </xf>
    <xf numFmtId="0" fontId="27" fillId="0" borderId="21" xfId="0" applyFont="1" applyFill="1" applyBorder="1" applyAlignment="1">
      <alignment horizontal="left"/>
    </xf>
    <xf numFmtId="0" fontId="27" fillId="0" borderId="24" xfId="0" applyFont="1" applyFill="1" applyBorder="1" applyAlignment="1">
      <alignment horizontal="left"/>
    </xf>
    <xf numFmtId="9" fontId="27" fillId="0" borderId="22" xfId="60" applyFont="1" applyFill="1" applyBorder="1" applyAlignment="1">
      <alignment horizontal="center"/>
    </xf>
    <xf numFmtId="0" fontId="28" fillId="36" borderId="14" xfId="0" applyFont="1" applyFill="1" applyBorder="1" applyAlignment="1">
      <alignment horizontal="center"/>
    </xf>
    <xf numFmtId="0" fontId="31" fillId="36" borderId="25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left"/>
    </xf>
    <xf numFmtId="182" fontId="27" fillId="0" borderId="27" xfId="60" applyNumberFormat="1" applyFont="1" applyFill="1" applyBorder="1" applyAlignment="1">
      <alignment horizontal="center"/>
    </xf>
    <xf numFmtId="182" fontId="27" fillId="0" borderId="15" xfId="60" applyNumberFormat="1" applyFont="1" applyFill="1" applyBorder="1" applyAlignment="1">
      <alignment horizontal="center"/>
    </xf>
    <xf numFmtId="2" fontId="27" fillId="0" borderId="15" xfId="60" applyNumberFormat="1" applyFont="1" applyFill="1" applyBorder="1" applyAlignment="1">
      <alignment horizontal="center"/>
    </xf>
    <xf numFmtId="180" fontId="27" fillId="0" borderId="28" xfId="60" applyNumberFormat="1" applyFont="1" applyFill="1" applyBorder="1" applyAlignment="1">
      <alignment horizontal="center"/>
    </xf>
    <xf numFmtId="182" fontId="27" fillId="0" borderId="22" xfId="60" applyNumberFormat="1" applyFont="1" applyFill="1" applyBorder="1" applyAlignment="1">
      <alignment horizontal="center"/>
    </xf>
    <xf numFmtId="180" fontId="27" fillId="0" borderId="27" xfId="60" applyNumberFormat="1" applyFont="1" applyFill="1" applyBorder="1" applyAlignment="1">
      <alignment horizontal="center"/>
    </xf>
    <xf numFmtId="181" fontId="27" fillId="0" borderId="27" xfId="51" applyNumberFormat="1" applyFont="1" applyFill="1" applyBorder="1" applyAlignment="1">
      <alignment horizontal="center"/>
    </xf>
    <xf numFmtId="189" fontId="27" fillId="0" borderId="29" xfId="51" applyNumberFormat="1" applyFont="1" applyFill="1" applyBorder="1" applyAlignment="1">
      <alignment horizontal="center"/>
    </xf>
    <xf numFmtId="0" fontId="29" fillId="37" borderId="30" xfId="0" applyFont="1" applyFill="1" applyBorder="1" applyAlignment="1">
      <alignment horizontal="left"/>
    </xf>
    <xf numFmtId="180" fontId="29" fillId="37" borderId="27" xfId="60" applyNumberFormat="1" applyFont="1" applyFill="1" applyBorder="1" applyAlignment="1">
      <alignment horizontal="center"/>
    </xf>
    <xf numFmtId="180" fontId="29" fillId="37" borderId="31" xfId="60" applyNumberFormat="1" applyFont="1" applyFill="1" applyBorder="1" applyAlignment="1">
      <alignment horizontal="center"/>
    </xf>
    <xf numFmtId="0" fontId="29" fillId="37" borderId="24" xfId="0" applyFont="1" applyFill="1" applyBorder="1" applyAlignment="1">
      <alignment horizontal="left"/>
    </xf>
    <xf numFmtId="180" fontId="27" fillId="0" borderId="32" xfId="60" applyNumberFormat="1" applyFont="1" applyFill="1" applyBorder="1" applyAlignment="1">
      <alignment horizontal="center"/>
    </xf>
    <xf numFmtId="9" fontId="27" fillId="37" borderId="23" xfId="60" applyFont="1" applyFill="1" applyBorder="1" applyAlignment="1">
      <alignment horizontal="center"/>
    </xf>
    <xf numFmtId="9" fontId="27" fillId="0" borderId="33" xfId="60" applyFont="1" applyFill="1" applyBorder="1" applyAlignment="1">
      <alignment horizontal="center"/>
    </xf>
    <xf numFmtId="9" fontId="27" fillId="0" borderId="29" xfId="60" applyFont="1" applyFill="1" applyBorder="1" applyAlignment="1">
      <alignment horizontal="center"/>
    </xf>
    <xf numFmtId="9" fontId="27" fillId="0" borderId="32" xfId="60" applyFont="1" applyFill="1" applyBorder="1" applyAlignment="1">
      <alignment horizontal="center"/>
    </xf>
    <xf numFmtId="9" fontId="59" fillId="0" borderId="15" xfId="60" applyFont="1" applyFill="1" applyBorder="1" applyAlignment="1">
      <alignment horizontal="center"/>
    </xf>
    <xf numFmtId="9" fontId="59" fillId="0" borderId="29" xfId="60" applyFont="1" applyFill="1" applyBorder="1" applyAlignment="1">
      <alignment horizontal="center"/>
    </xf>
    <xf numFmtId="0" fontId="27" fillId="0" borderId="34" xfId="0" applyFont="1" applyFill="1" applyBorder="1" applyAlignment="1">
      <alignment horizontal="left"/>
    </xf>
    <xf numFmtId="0" fontId="29" fillId="0" borderId="35" xfId="0" applyFont="1" applyFill="1" applyBorder="1" applyAlignment="1">
      <alignment horizontal="left"/>
    </xf>
    <xf numFmtId="180" fontId="27" fillId="0" borderId="31" xfId="60" applyNumberFormat="1" applyFont="1" applyFill="1" applyBorder="1" applyAlignment="1">
      <alignment horizontal="center"/>
    </xf>
    <xf numFmtId="9" fontId="59" fillId="0" borderId="27" xfId="60" applyFont="1" applyFill="1" applyBorder="1" applyAlignment="1">
      <alignment horizontal="center"/>
    </xf>
    <xf numFmtId="9" fontId="59" fillId="0" borderId="31" xfId="60" applyFont="1" applyFill="1" applyBorder="1" applyAlignment="1">
      <alignment horizontal="center"/>
    </xf>
    <xf numFmtId="0" fontId="27" fillId="0" borderId="20" xfId="0" applyFont="1" applyFill="1" applyBorder="1" applyAlignment="1">
      <alignment horizontal="left"/>
    </xf>
    <xf numFmtId="49" fontId="27" fillId="0" borderId="22" xfId="0" applyNumberFormat="1" applyFont="1" applyFill="1" applyBorder="1" applyAlignment="1">
      <alignment horizontal="center"/>
    </xf>
    <xf numFmtId="49" fontId="27" fillId="0" borderId="32" xfId="0" applyNumberFormat="1" applyFont="1" applyFill="1" applyBorder="1" applyAlignment="1">
      <alignment horizontal="center"/>
    </xf>
    <xf numFmtId="189" fontId="27" fillId="0" borderId="36" xfId="51" applyNumberFormat="1" applyFont="1" applyFill="1" applyBorder="1" applyAlignment="1" applyProtection="1">
      <alignment horizontal="center"/>
      <protection locked="0"/>
    </xf>
    <xf numFmtId="189" fontId="27" fillId="0" borderId="15" xfId="51" applyNumberFormat="1" applyFont="1" applyFill="1" applyBorder="1" applyAlignment="1" applyProtection="1">
      <alignment horizontal="center"/>
      <protection locked="0"/>
    </xf>
    <xf numFmtId="189" fontId="27" fillId="0" borderId="29" xfId="51" applyNumberFormat="1" applyFont="1" applyFill="1" applyBorder="1" applyAlignment="1" applyProtection="1">
      <alignment horizontal="center"/>
      <protection locked="0"/>
    </xf>
    <xf numFmtId="189" fontId="29" fillId="0" borderId="30" xfId="51" applyNumberFormat="1" applyFont="1" applyFill="1" applyBorder="1" applyAlignment="1" applyProtection="1">
      <alignment horizontal="center"/>
      <protection locked="0"/>
    </xf>
    <xf numFmtId="189" fontId="29" fillId="0" borderId="27" xfId="51" applyNumberFormat="1" applyFont="1" applyFill="1" applyBorder="1" applyAlignment="1" applyProtection="1">
      <alignment horizontal="center"/>
      <protection locked="0"/>
    </xf>
    <xf numFmtId="189" fontId="29" fillId="0" borderId="31" xfId="51" applyNumberFormat="1" applyFont="1" applyFill="1" applyBorder="1" applyAlignment="1" applyProtection="1">
      <alignment horizontal="center"/>
      <protection locked="0"/>
    </xf>
    <xf numFmtId="180" fontId="29" fillId="0" borderId="37" xfId="60" applyNumberFormat="1" applyFont="1" applyFill="1" applyBorder="1" applyAlignment="1">
      <alignment horizontal="center"/>
    </xf>
    <xf numFmtId="180" fontId="29" fillId="0" borderId="38" xfId="60" applyNumberFormat="1" applyFont="1" applyFill="1" applyBorder="1" applyAlignment="1">
      <alignment horizontal="center"/>
    </xf>
    <xf numFmtId="9" fontId="27" fillId="0" borderId="39" xfId="60" applyNumberFormat="1" applyFont="1" applyFill="1" applyBorder="1" applyAlignment="1">
      <alignment horizontal="center"/>
    </xf>
    <xf numFmtId="9" fontId="27" fillId="0" borderId="40" xfId="60" applyNumberFormat="1" applyFont="1" applyFill="1" applyBorder="1" applyAlignment="1">
      <alignment horizontal="center"/>
    </xf>
    <xf numFmtId="9" fontId="27" fillId="0" borderId="22" xfId="60" applyNumberFormat="1" applyFont="1" applyFill="1" applyBorder="1" applyAlignment="1">
      <alignment horizontal="center"/>
    </xf>
    <xf numFmtId="9" fontId="27" fillId="0" borderId="32" xfId="60" applyNumberFormat="1" applyFont="1" applyFill="1" applyBorder="1" applyAlignment="1">
      <alignment horizontal="center"/>
    </xf>
    <xf numFmtId="0" fontId="27" fillId="0" borderId="41" xfId="0" applyFont="1" applyFill="1" applyBorder="1" applyAlignment="1">
      <alignment horizontal="left"/>
    </xf>
    <xf numFmtId="0" fontId="26" fillId="38" borderId="42" xfId="58" applyFont="1" applyFill="1" applyBorder="1">
      <alignment/>
      <protection/>
    </xf>
    <xf numFmtId="189" fontId="60" fillId="38" borderId="43" xfId="53" applyNumberFormat="1" applyFont="1" applyFill="1" applyBorder="1" applyAlignment="1" applyProtection="1">
      <alignment/>
      <protection locked="0"/>
    </xf>
    <xf numFmtId="0" fontId="26" fillId="0" borderId="0" xfId="58" applyFont="1">
      <alignment/>
      <protection/>
    </xf>
    <xf numFmtId="0" fontId="26" fillId="38" borderId="44" xfId="58" applyFont="1" applyFill="1" applyBorder="1">
      <alignment/>
      <protection/>
    </xf>
    <xf numFmtId="0" fontId="60" fillId="38" borderId="45" xfId="58" applyFont="1" applyFill="1" applyBorder="1" applyProtection="1" quotePrefix="1">
      <alignment/>
      <protection locked="0"/>
    </xf>
    <xf numFmtId="0" fontId="33" fillId="0" borderId="0" xfId="58" applyFont="1" applyAlignment="1">
      <alignment horizontal="right"/>
      <protection/>
    </xf>
    <xf numFmtId="189" fontId="26" fillId="38" borderId="46" xfId="58" applyNumberFormat="1" applyFont="1" applyFill="1" applyBorder="1">
      <alignment/>
      <protection/>
    </xf>
    <xf numFmtId="0" fontId="26" fillId="38" borderId="47" xfId="58" applyFont="1" applyFill="1" applyBorder="1">
      <alignment/>
      <protection/>
    </xf>
    <xf numFmtId="180" fontId="60" fillId="38" borderId="48" xfId="58" applyNumberFormat="1" applyFont="1" applyFill="1" applyBorder="1" applyProtection="1">
      <alignment/>
      <protection locked="0"/>
    </xf>
    <xf numFmtId="0" fontId="33" fillId="0" borderId="0" xfId="58" applyFont="1" applyAlignment="1">
      <alignment horizontal="center"/>
      <protection/>
    </xf>
    <xf numFmtId="0" fontId="34" fillId="39" borderId="49" xfId="58" applyFont="1" applyFill="1" applyBorder="1" applyAlignment="1">
      <alignment horizontal="center"/>
      <protection/>
    </xf>
    <xf numFmtId="189" fontId="26" fillId="0" borderId="20" xfId="53" applyNumberFormat="1" applyFont="1" applyFill="1" applyBorder="1" applyAlignment="1" applyProtection="1">
      <alignment/>
      <protection/>
    </xf>
    <xf numFmtId="189" fontId="35" fillId="0" borderId="50" xfId="53" applyNumberFormat="1" applyFont="1" applyFill="1" applyBorder="1" applyAlignment="1" applyProtection="1">
      <alignment/>
      <protection/>
    </xf>
    <xf numFmtId="189" fontId="35" fillId="0" borderId="51" xfId="53" applyNumberFormat="1" applyFont="1" applyFill="1" applyBorder="1" applyAlignment="1" applyProtection="1">
      <alignment/>
      <protection/>
    </xf>
    <xf numFmtId="189" fontId="26" fillId="38" borderId="52" xfId="53" applyNumberFormat="1" applyFont="1" applyFill="1" applyBorder="1" applyAlignment="1" applyProtection="1">
      <alignment/>
      <protection/>
    </xf>
    <xf numFmtId="189" fontId="26" fillId="0" borderId="53" xfId="53" applyNumberFormat="1" applyFont="1" applyFill="1" applyBorder="1" applyAlignment="1" applyProtection="1">
      <alignment/>
      <protection/>
    </xf>
    <xf numFmtId="189" fontId="35" fillId="0" borderId="0" xfId="53" applyNumberFormat="1" applyFont="1" applyFill="1" applyBorder="1" applyAlignment="1" applyProtection="1">
      <alignment/>
      <protection/>
    </xf>
    <xf numFmtId="189" fontId="35" fillId="0" borderId="45" xfId="53" applyNumberFormat="1" applyFont="1" applyFill="1" applyBorder="1" applyAlignment="1" applyProtection="1">
      <alignment/>
      <protection/>
    </xf>
    <xf numFmtId="189" fontId="26" fillId="38" borderId="54" xfId="53" applyNumberFormat="1" applyFont="1" applyFill="1" applyBorder="1" applyAlignment="1" applyProtection="1">
      <alignment/>
      <protection/>
    </xf>
    <xf numFmtId="189" fontId="26" fillId="0" borderId="14" xfId="58" applyNumberFormat="1" applyFont="1" applyBorder="1">
      <alignment/>
      <protection/>
    </xf>
    <xf numFmtId="189" fontId="26" fillId="0" borderId="35" xfId="53" applyNumberFormat="1" applyFont="1" applyFill="1" applyBorder="1" applyAlignment="1" applyProtection="1">
      <alignment/>
      <protection/>
    </xf>
    <xf numFmtId="189" fontId="35" fillId="0" borderId="11" xfId="53" applyNumberFormat="1" applyFont="1" applyFill="1" applyBorder="1" applyAlignment="1" applyProtection="1">
      <alignment/>
      <protection/>
    </xf>
    <xf numFmtId="189" fontId="35" fillId="0" borderId="55" xfId="53" applyNumberFormat="1" applyFont="1" applyFill="1" applyBorder="1" applyAlignment="1" applyProtection="1">
      <alignment/>
      <protection/>
    </xf>
    <xf numFmtId="189" fontId="26" fillId="38" borderId="56" xfId="53" applyNumberFormat="1" applyFont="1" applyFill="1" applyBorder="1" applyAlignment="1" applyProtection="1">
      <alignment/>
      <protection/>
    </xf>
    <xf numFmtId="189" fontId="26" fillId="0" borderId="0" xfId="58" applyNumberFormat="1" applyFont="1">
      <alignment/>
      <protection/>
    </xf>
    <xf numFmtId="0" fontId="26" fillId="0" borderId="0" xfId="58" applyFont="1" applyFill="1">
      <alignment/>
      <protection/>
    </xf>
    <xf numFmtId="189" fontId="26" fillId="0" borderId="44" xfId="53" applyNumberFormat="1" applyFont="1" applyFill="1" applyBorder="1" applyAlignment="1" applyProtection="1">
      <alignment/>
      <protection/>
    </xf>
    <xf numFmtId="189" fontId="26" fillId="38" borderId="57" xfId="53" applyNumberFormat="1" applyFont="1" applyFill="1" applyBorder="1" applyAlignment="1" applyProtection="1">
      <alignment/>
      <protection/>
    </xf>
    <xf numFmtId="189" fontId="26" fillId="0" borderId="47" xfId="53" applyNumberFormat="1" applyFont="1" applyFill="1" applyBorder="1" applyAlignment="1" applyProtection="1">
      <alignment/>
      <protection/>
    </xf>
    <xf numFmtId="189" fontId="35" fillId="0" borderId="58" xfId="53" applyNumberFormat="1" applyFont="1" applyFill="1" applyBorder="1" applyAlignment="1" applyProtection="1">
      <alignment/>
      <protection/>
    </xf>
    <xf numFmtId="189" fontId="35" fillId="0" borderId="48" xfId="53" applyNumberFormat="1" applyFont="1" applyFill="1" applyBorder="1" applyAlignment="1" applyProtection="1">
      <alignment/>
      <protection/>
    </xf>
    <xf numFmtId="189" fontId="26" fillId="38" borderId="59" xfId="53" applyNumberFormat="1" applyFont="1" applyFill="1" applyBorder="1" applyAlignment="1" applyProtection="1">
      <alignment/>
      <protection/>
    </xf>
    <xf numFmtId="189" fontId="33" fillId="38" borderId="59" xfId="58" applyNumberFormat="1" applyFont="1" applyFill="1" applyBorder="1">
      <alignment/>
      <protection/>
    </xf>
    <xf numFmtId="189" fontId="36" fillId="0" borderId="0" xfId="58" applyNumberFormat="1" applyFont="1">
      <alignment/>
      <protection/>
    </xf>
    <xf numFmtId="189" fontId="36" fillId="0" borderId="46" xfId="58" applyNumberFormat="1" applyFont="1" applyBorder="1">
      <alignment/>
      <protection/>
    </xf>
    <xf numFmtId="9" fontId="27" fillId="0" borderId="0" xfId="60" applyFont="1" applyFill="1" applyBorder="1" applyAlignment="1">
      <alignment horizontal="left"/>
    </xf>
    <xf numFmtId="0" fontId="27" fillId="0" borderId="0" xfId="0" applyFont="1" applyAlignment="1">
      <alignment horizontal="left"/>
    </xf>
    <xf numFmtId="9" fontId="61" fillId="0" borderId="0" xfId="60" applyFont="1" applyFill="1" applyBorder="1" applyAlignment="1">
      <alignment horizontal="left"/>
    </xf>
    <xf numFmtId="0" fontId="61" fillId="0" borderId="60" xfId="0" applyFont="1" applyFill="1" applyBorder="1" applyAlignment="1" quotePrefix="1">
      <alignment horizontal="center"/>
    </xf>
    <xf numFmtId="0" fontId="62" fillId="0" borderId="31" xfId="0" applyFont="1" applyBorder="1" applyAlignment="1">
      <alignment horizontal="center"/>
    </xf>
    <xf numFmtId="0" fontId="61" fillId="0" borderId="41" xfId="0" applyFont="1" applyFill="1" applyBorder="1" applyAlignment="1">
      <alignment horizontal="center"/>
    </xf>
    <xf numFmtId="0" fontId="62" fillId="0" borderId="61" xfId="0" applyFont="1" applyBorder="1" applyAlignment="1">
      <alignment horizontal="center"/>
    </xf>
    <xf numFmtId="9" fontId="61" fillId="0" borderId="41" xfId="60" applyFont="1" applyFill="1" applyBorder="1" applyAlignment="1">
      <alignment horizontal="center"/>
    </xf>
    <xf numFmtId="0" fontId="61" fillId="0" borderId="41" xfId="0" applyFont="1" applyFill="1" applyBorder="1" applyAlignment="1" quotePrefix="1">
      <alignment horizontal="center"/>
    </xf>
    <xf numFmtId="0" fontId="62" fillId="0" borderId="61" xfId="0" applyFont="1" applyBorder="1" applyAlignment="1" quotePrefix="1">
      <alignment horizontal="center"/>
    </xf>
    <xf numFmtId="0" fontId="61" fillId="0" borderId="18" xfId="0" applyFont="1" applyFill="1" applyBorder="1" applyAlignment="1">
      <alignment horizontal="center"/>
    </xf>
    <xf numFmtId="0" fontId="62" fillId="0" borderId="38" xfId="0" applyFont="1" applyBorder="1" applyAlignment="1">
      <alignment horizontal="center"/>
    </xf>
    <xf numFmtId="9" fontId="29" fillId="0" borderId="15" xfId="60" applyNumberFormat="1" applyFont="1" applyFill="1" applyBorder="1" applyAlignment="1">
      <alignment horizontal="center"/>
    </xf>
    <xf numFmtId="9" fontId="29" fillId="0" borderId="29" xfId="60" applyNumberFormat="1" applyFont="1" applyFill="1" applyBorder="1" applyAlignment="1">
      <alignment horizontal="center"/>
    </xf>
    <xf numFmtId="9" fontId="29" fillId="0" borderId="62" xfId="60" applyNumberFormat="1" applyFont="1" applyFill="1" applyBorder="1" applyAlignment="1">
      <alignment horizontal="center"/>
    </xf>
    <xf numFmtId="9" fontId="29" fillId="0" borderId="63" xfId="60" applyNumberFormat="1" applyFont="1" applyFill="1" applyBorder="1" applyAlignment="1">
      <alignment horizontal="center"/>
    </xf>
    <xf numFmtId="189" fontId="63" fillId="40" borderId="14" xfId="60" applyNumberFormat="1" applyFont="1" applyFill="1" applyBorder="1" applyAlignment="1">
      <alignment horizontal="center"/>
    </xf>
    <xf numFmtId="189" fontId="64" fillId="0" borderId="14" xfId="51" applyNumberFormat="1" applyFont="1" applyFill="1" applyBorder="1" applyAlignment="1">
      <alignment horizontal="center"/>
    </xf>
    <xf numFmtId="0" fontId="29" fillId="0" borderId="64" xfId="0" applyFont="1" applyFill="1" applyBorder="1" applyAlignment="1">
      <alignment horizontal="left"/>
    </xf>
    <xf numFmtId="187" fontId="29" fillId="0" borderId="22" xfId="51" applyNumberFormat="1" applyFont="1" applyFill="1" applyBorder="1" applyAlignment="1">
      <alignment horizontal="center"/>
    </xf>
    <xf numFmtId="187" fontId="29" fillId="0" borderId="32" xfId="51" applyNumberFormat="1" applyFont="1" applyFill="1" applyBorder="1" applyAlignment="1">
      <alignment horizontal="center"/>
    </xf>
    <xf numFmtId="181" fontId="28" fillId="34" borderId="65" xfId="51" applyNumberFormat="1" applyFont="1" applyFill="1" applyBorder="1" applyAlignment="1">
      <alignment horizontal="center"/>
    </xf>
    <xf numFmtId="181" fontId="28" fillId="34" borderId="12" xfId="51" applyNumberFormat="1" applyFont="1" applyFill="1" applyBorder="1" applyAlignment="1">
      <alignment horizontal="center"/>
    </xf>
    <xf numFmtId="181" fontId="28" fillId="33" borderId="13" xfId="51" applyNumberFormat="1" applyFont="1" applyFill="1" applyBorder="1" applyAlignment="1">
      <alignment horizontal="center"/>
    </xf>
    <xf numFmtId="181" fontId="29" fillId="0" borderId="60" xfId="51" applyNumberFormat="1" applyFont="1" applyFill="1" applyBorder="1" applyAlignment="1">
      <alignment horizontal="center"/>
    </xf>
    <xf numFmtId="181" fontId="29" fillId="0" borderId="17" xfId="51" applyNumberFormat="1" applyFont="1" applyFill="1" applyBorder="1" applyAlignment="1">
      <alignment horizontal="center"/>
    </xf>
    <xf numFmtId="181" fontId="28" fillId="34" borderId="66" xfId="51" applyNumberFormat="1" applyFont="1" applyFill="1" applyBorder="1" applyAlignment="1">
      <alignment horizontal="center"/>
    </xf>
    <xf numFmtId="181" fontId="28" fillId="34" borderId="67" xfId="51" applyNumberFormat="1" applyFont="1" applyFill="1" applyBorder="1" applyAlignment="1">
      <alignment horizontal="center"/>
    </xf>
    <xf numFmtId="0" fontId="27" fillId="37" borderId="60" xfId="0" applyFont="1" applyFill="1" applyBorder="1" applyAlignment="1">
      <alignment horizontal="left"/>
    </xf>
    <xf numFmtId="0" fontId="27" fillId="37" borderId="41" xfId="0" applyFont="1" applyFill="1" applyBorder="1" applyAlignment="1">
      <alignment horizontal="left"/>
    </xf>
    <xf numFmtId="0" fontId="27" fillId="37" borderId="18" xfId="0" applyFont="1" applyFill="1" applyBorder="1" applyAlignment="1">
      <alignment horizontal="left"/>
    </xf>
    <xf numFmtId="181" fontId="29" fillId="0" borderId="68" xfId="51" applyNumberFormat="1" applyFont="1" applyFill="1" applyBorder="1" applyAlignment="1">
      <alignment horizontal="center"/>
    </xf>
    <xf numFmtId="181" fontId="29" fillId="0" borderId="41" xfId="51" applyNumberFormat="1" applyFont="1" applyFill="1" applyBorder="1" applyAlignment="1">
      <alignment horizontal="center"/>
    </xf>
    <xf numFmtId="0" fontId="27" fillId="0" borderId="41" xfId="59" applyFont="1" applyFill="1" applyBorder="1" applyAlignment="1">
      <alignment horizontal="left"/>
      <protection/>
    </xf>
    <xf numFmtId="181" fontId="27" fillId="0" borderId="15" xfId="51" applyNumberFormat="1" applyFont="1" applyFill="1" applyBorder="1" applyAlignment="1">
      <alignment horizontal="center"/>
    </xf>
    <xf numFmtId="0" fontId="29" fillId="0" borderId="14" xfId="0" applyFont="1" applyFill="1" applyBorder="1" applyAlignment="1">
      <alignment horizontal="left"/>
    </xf>
    <xf numFmtId="181" fontId="29" fillId="0" borderId="15" xfId="51" applyNumberFormat="1" applyFont="1" applyFill="1" applyBorder="1" applyAlignment="1">
      <alignment horizontal="center"/>
    </xf>
    <xf numFmtId="181" fontId="28" fillId="33" borderId="14" xfId="51" applyNumberFormat="1" applyFont="1" applyFill="1" applyBorder="1" applyAlignment="1">
      <alignment horizontal="center"/>
    </xf>
    <xf numFmtId="181" fontId="27" fillId="0" borderId="0" xfId="51" applyNumberFormat="1" applyFont="1" applyAlignment="1">
      <alignment/>
    </xf>
    <xf numFmtId="189" fontId="27" fillId="0" borderId="36" xfId="51" applyNumberFormat="1" applyFont="1" applyFill="1" applyBorder="1" applyAlignment="1">
      <alignment horizontal="center"/>
    </xf>
    <xf numFmtId="0" fontId="65" fillId="0" borderId="0" xfId="0" applyFont="1" applyAlignment="1" applyProtection="1">
      <alignment horizontal="right"/>
      <protection locked="0"/>
    </xf>
    <xf numFmtId="0" fontId="65" fillId="0" borderId="12" xfId="0" applyFont="1" applyFill="1" applyBorder="1" applyAlignment="1" applyProtection="1">
      <alignment horizontal="center"/>
      <protection locked="0"/>
    </xf>
    <xf numFmtId="0" fontId="27" fillId="0" borderId="13" xfId="0" applyFont="1" applyFill="1" applyBorder="1" applyAlignment="1" applyProtection="1">
      <alignment horizontal="left"/>
      <protection locked="0"/>
    </xf>
    <xf numFmtId="189" fontId="59" fillId="0" borderId="27" xfId="51" applyNumberFormat="1" applyFont="1" applyFill="1" applyBorder="1" applyAlignment="1" applyProtection="1">
      <alignment horizontal="center"/>
      <protection locked="0"/>
    </xf>
    <xf numFmtId="189" fontId="59" fillId="0" borderId="31" xfId="51" applyNumberFormat="1" applyFont="1" applyFill="1" applyBorder="1" applyAlignment="1" applyProtection="1">
      <alignment horizontal="center"/>
      <protection locked="0"/>
    </xf>
    <xf numFmtId="0" fontId="27" fillId="0" borderId="17" xfId="0" applyFont="1" applyFill="1" applyBorder="1" applyAlignment="1" applyProtection="1">
      <alignment horizontal="left"/>
      <protection locked="0"/>
    </xf>
    <xf numFmtId="189" fontId="59" fillId="0" borderId="15" xfId="51" applyNumberFormat="1" applyFont="1" applyFill="1" applyBorder="1" applyAlignment="1" applyProtection="1">
      <alignment horizontal="center"/>
      <protection locked="0"/>
    </xf>
    <xf numFmtId="189" fontId="59" fillId="0" borderId="29" xfId="51" applyNumberFormat="1" applyFont="1" applyFill="1" applyBorder="1" applyAlignment="1" applyProtection="1">
      <alignment horizontal="center"/>
      <protection locked="0"/>
    </xf>
    <xf numFmtId="0" fontId="27" fillId="0" borderId="41" xfId="0" applyFont="1" applyFill="1" applyBorder="1" applyAlignment="1" applyProtection="1">
      <alignment horizontal="left"/>
      <protection locked="0"/>
    </xf>
    <xf numFmtId="189" fontId="59" fillId="0" borderId="22" xfId="51" applyNumberFormat="1" applyFont="1" applyFill="1" applyBorder="1" applyAlignment="1" applyProtection="1">
      <alignment horizontal="center"/>
      <protection locked="0"/>
    </xf>
    <xf numFmtId="189" fontId="59" fillId="0" borderId="32" xfId="51" applyNumberFormat="1" applyFont="1" applyFill="1" applyBorder="1" applyAlignment="1" applyProtection="1">
      <alignment horizontal="center"/>
      <protection locked="0"/>
    </xf>
    <xf numFmtId="9" fontId="30" fillId="0" borderId="14" xfId="60" applyFont="1" applyFill="1" applyBorder="1" applyAlignment="1" applyProtection="1">
      <alignment horizontal="center"/>
      <protection locked="0"/>
    </xf>
    <xf numFmtId="10" fontId="32" fillId="35" borderId="35" xfId="0" applyNumberFormat="1" applyFont="1" applyFill="1" applyBorder="1" applyAlignment="1" applyProtection="1">
      <alignment horizontal="center"/>
      <protection locked="0"/>
    </xf>
    <xf numFmtId="181" fontId="30" fillId="0" borderId="15" xfId="51" applyNumberFormat="1" applyFont="1" applyFill="1" applyBorder="1" applyAlignment="1" applyProtection="1">
      <alignment horizontal="center"/>
      <protection locked="0"/>
    </xf>
    <xf numFmtId="181" fontId="30" fillId="0" borderId="27" xfId="51" applyNumberFormat="1" applyFont="1" applyFill="1" applyBorder="1" applyAlignment="1" applyProtection="1">
      <alignment horizontal="center"/>
      <protection locked="0"/>
    </xf>
    <xf numFmtId="181" fontId="30" fillId="0" borderId="22" xfId="51" applyNumberFormat="1" applyFont="1" applyFill="1" applyBorder="1" applyAlignment="1" applyProtection="1">
      <alignment horizontal="center"/>
      <protection locked="0"/>
    </xf>
    <xf numFmtId="181" fontId="30" fillId="0" borderId="69" xfId="51" applyNumberFormat="1" applyFont="1" applyFill="1" applyBorder="1" applyAlignment="1" applyProtection="1">
      <alignment horizontal="center"/>
      <protection locked="0"/>
    </xf>
    <xf numFmtId="181" fontId="59" fillId="0" borderId="15" xfId="51" applyNumberFormat="1" applyFont="1" applyFill="1" applyBorder="1" applyAlignment="1" applyProtection="1">
      <alignment horizontal="center"/>
      <protection locked="0"/>
    </xf>
    <xf numFmtId="0" fontId="65" fillId="0" borderId="0" xfId="0" applyFont="1" applyAlignment="1">
      <alignment/>
    </xf>
    <xf numFmtId="0" fontId="64" fillId="0" borderId="24" xfId="0" applyFont="1" applyFill="1" applyBorder="1" applyAlignment="1">
      <alignment horizontal="left"/>
    </xf>
    <xf numFmtId="10" fontId="29" fillId="0" borderId="22" xfId="60" applyNumberFormat="1" applyFont="1" applyFill="1" applyBorder="1" applyAlignment="1">
      <alignment horizontal="center"/>
    </xf>
    <xf numFmtId="10" fontId="29" fillId="0" borderId="32" xfId="60" applyNumberFormat="1" applyFont="1" applyFill="1" applyBorder="1" applyAlignment="1">
      <alignment horizontal="center"/>
    </xf>
    <xf numFmtId="9" fontId="65" fillId="0" borderId="14" xfId="0" applyNumberFormat="1" applyFont="1" applyBorder="1" applyAlignment="1" applyProtection="1">
      <alignment/>
      <protection locked="0"/>
    </xf>
    <xf numFmtId="170" fontId="27" fillId="0" borderId="0" xfId="51" applyFont="1" applyAlignment="1">
      <alignment horizontal="center"/>
    </xf>
    <xf numFmtId="189" fontId="29" fillId="37" borderId="64" xfId="51" applyNumberFormat="1" applyFont="1" applyFill="1" applyBorder="1" applyAlignment="1" applyProtection="1">
      <alignment horizontal="center"/>
      <protection locked="0"/>
    </xf>
    <xf numFmtId="189" fontId="29" fillId="37" borderId="22" xfId="51" applyNumberFormat="1" applyFont="1" applyFill="1" applyBorder="1" applyAlignment="1" applyProtection="1">
      <alignment horizontal="center"/>
      <protection locked="0"/>
    </xf>
    <xf numFmtId="189" fontId="29" fillId="37" borderId="32" xfId="51" applyNumberFormat="1" applyFont="1" applyFill="1" applyBorder="1" applyAlignment="1" applyProtection="1">
      <alignment horizontal="center"/>
      <protection locked="0"/>
    </xf>
    <xf numFmtId="181" fontId="27" fillId="0" borderId="15" xfId="51" applyNumberFormat="1" applyFont="1" applyFill="1" applyBorder="1" applyAlignment="1" applyProtection="1">
      <alignment horizontal="center"/>
      <protection/>
    </xf>
    <xf numFmtId="9" fontId="27" fillId="37" borderId="67" xfId="60" applyNumberFormat="1" applyFont="1" applyFill="1" applyBorder="1" applyAlignment="1">
      <alignment horizontal="center"/>
    </xf>
    <xf numFmtId="9" fontId="27" fillId="37" borderId="70" xfId="60" applyNumberFormat="1" applyFont="1" applyFill="1" applyBorder="1" applyAlignment="1">
      <alignment horizontal="center"/>
    </xf>
    <xf numFmtId="0" fontId="26" fillId="35" borderId="20" xfId="0" applyFont="1" applyFill="1" applyBorder="1" applyAlignment="1">
      <alignment horizontal="center"/>
    </xf>
    <xf numFmtId="0" fontId="26" fillId="35" borderId="63" xfId="0" applyFont="1" applyFill="1" applyBorder="1" applyAlignment="1">
      <alignment horizontal="center"/>
    </xf>
    <xf numFmtId="0" fontId="41" fillId="33" borderId="53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</cellXfs>
  <cellStyles count="5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gras" xfId="45"/>
    <cellStyle name="Insatisfaisant" xfId="46"/>
    <cellStyle name="Comma" xfId="47"/>
    <cellStyle name="Comma [0]" xfId="48"/>
    <cellStyle name="Milliers [0] 2" xfId="49"/>
    <cellStyle name="Milliers 2" xfId="50"/>
    <cellStyle name="Currency" xfId="51"/>
    <cellStyle name="Currency [0]" xfId="52"/>
    <cellStyle name="Monétaire 2" xfId="53"/>
    <cellStyle name="Monétaire 3" xfId="54"/>
    <cellStyle name="Monétaire 4" xfId="55"/>
    <cellStyle name="Neutre" xfId="56"/>
    <cellStyle name="Normal 2" xfId="57"/>
    <cellStyle name="Normal 3" xfId="58"/>
    <cellStyle name="Normal 4" xfId="59"/>
    <cellStyle name="Percent" xfId="60"/>
    <cellStyle name="Pourcentage 2" xfId="61"/>
    <cellStyle name="Pourcentage 3" xfId="62"/>
    <cellStyle name="Satisfaisant" xfId="63"/>
    <cellStyle name="Sortie" xfId="64"/>
    <cellStyle name="Texte explicatif" xfId="65"/>
    <cellStyle name="Titre" xfId="66"/>
    <cellStyle name="Titre 1" xfId="67"/>
    <cellStyle name="Titre 2" xfId="68"/>
    <cellStyle name="Titre 3" xfId="69"/>
    <cellStyle name="Titre 4" xfId="70"/>
    <cellStyle name="Total" xfId="71"/>
    <cellStyle name="Vérification" xfId="72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D:\Documents%20and%20Settings\joel.nzali\My%20Documents\My%20Work\CLIENTS\CPS\2006\VITRUM%20LUX\02_Engagement\Support%20docs\Synth&#232;se%20(projection%20historiqu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énario projection (base hist)"/>
    </sheet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zoomScalePageLayoutView="0" workbookViewId="0" topLeftCell="A91">
      <selection activeCell="B1" sqref="B1"/>
    </sheetView>
  </sheetViews>
  <sheetFormatPr defaultColWidth="9.140625" defaultRowHeight="12.75"/>
  <cols>
    <col min="1" max="1" width="15.140625" style="82" bestFit="1" customWidth="1"/>
    <col min="2" max="2" width="17.140625" style="82" bestFit="1" customWidth="1"/>
    <col min="3" max="3" width="18.00390625" style="82" bestFit="1" customWidth="1"/>
    <col min="4" max="4" width="16.7109375" style="82" bestFit="1" customWidth="1"/>
    <col min="5" max="5" width="14.421875" style="82" bestFit="1" customWidth="1"/>
    <col min="6" max="6" width="11.421875" style="82" customWidth="1"/>
    <col min="7" max="7" width="21.421875" style="82" bestFit="1" customWidth="1"/>
    <col min="8" max="8" width="13.421875" style="82" bestFit="1" customWidth="1"/>
    <col min="9" max="16384" width="9.140625" style="82" customWidth="1"/>
  </cols>
  <sheetData>
    <row r="1" spans="1:2" ht="15" thickBot="1">
      <c r="A1" s="80" t="s">
        <v>23</v>
      </c>
      <c r="B1" s="81">
        <v>1400000</v>
      </c>
    </row>
    <row r="2" spans="1:5" ht="15" thickBot="1">
      <c r="A2" s="83" t="s">
        <v>24</v>
      </c>
      <c r="B2" s="84">
        <f>7*12</f>
        <v>84</v>
      </c>
      <c r="D2" s="85" t="s">
        <v>22</v>
      </c>
      <c r="E2" s="86">
        <f>+PMT($B$3/12,$B$2,$B$1,0,0)</f>
        <v>-18498.620091646484</v>
      </c>
    </row>
    <row r="3" spans="1:2" ht="15" thickBot="1">
      <c r="A3" s="87" t="s">
        <v>25</v>
      </c>
      <c r="B3" s="88">
        <v>0.03</v>
      </c>
    </row>
    <row r="4" ht="15" thickBot="1"/>
    <row r="5" spans="2:5" ht="15" thickBot="1">
      <c r="B5" s="89" t="s">
        <v>28</v>
      </c>
      <c r="C5" s="89" t="s">
        <v>26</v>
      </c>
      <c r="D5" s="89" t="s">
        <v>27</v>
      </c>
      <c r="E5" s="90" t="s">
        <v>29</v>
      </c>
    </row>
    <row r="6" spans="1:5" ht="13.5">
      <c r="A6" s="82">
        <v>1</v>
      </c>
      <c r="B6" s="91">
        <f>+B1</f>
        <v>1400000</v>
      </c>
      <c r="C6" s="92">
        <f>+IPMT($B$3/12,A6,$B$2,B6,0,)</f>
        <v>-3500</v>
      </c>
      <c r="D6" s="93">
        <f>+PPMT($B$3/12,A6,$B$2,$B$1,0,)</f>
        <v>-14998.620091646484</v>
      </c>
      <c r="E6" s="94">
        <f>+B6+D6</f>
        <v>1385001.3799083536</v>
      </c>
    </row>
    <row r="7" spans="1:5" ht="13.5">
      <c r="A7" s="82">
        <v>2</v>
      </c>
      <c r="B7" s="95">
        <f aca="true" t="shared" si="0" ref="B7:B70">+E6</f>
        <v>1385001.3799083536</v>
      </c>
      <c r="C7" s="96">
        <f aca="true" t="shared" si="1" ref="C7:C70">+IPMT($B$3/12,A7,$B$2,B7,0,)</f>
        <v>-3425.4086113357916</v>
      </c>
      <c r="D7" s="97">
        <f aca="true" t="shared" si="2" ref="D7:D70">+PPMT($B$3/12,A7,$B$2,$B$1,0,)</f>
        <v>-15036.116641875598</v>
      </c>
      <c r="E7" s="98">
        <f aca="true" t="shared" si="3" ref="E7:E70">+E6+D7</f>
        <v>1369965.263266478</v>
      </c>
    </row>
    <row r="8" spans="1:5" ht="13.5">
      <c r="A8" s="82">
        <v>3</v>
      </c>
      <c r="B8" s="95">
        <f t="shared" si="0"/>
        <v>1369965.263266478</v>
      </c>
      <c r="C8" s="96">
        <f t="shared" si="1"/>
        <v>-3351.437183137126</v>
      </c>
      <c r="D8" s="97">
        <f t="shared" si="2"/>
        <v>-15073.706933480289</v>
      </c>
      <c r="E8" s="98">
        <f t="shared" si="3"/>
        <v>1354891.5563329977</v>
      </c>
    </row>
    <row r="9" spans="1:5" ht="13.5">
      <c r="A9" s="82">
        <v>4</v>
      </c>
      <c r="B9" s="95">
        <f t="shared" si="0"/>
        <v>1354891.5563329977</v>
      </c>
      <c r="C9" s="96">
        <f t="shared" si="1"/>
        <v>-3278.091302540094</v>
      </c>
      <c r="D9" s="97">
        <f t="shared" si="2"/>
        <v>-15111.391200813989</v>
      </c>
      <c r="E9" s="98">
        <f t="shared" si="3"/>
        <v>1339780.1651321838</v>
      </c>
    </row>
    <row r="10" spans="1:5" ht="13.5">
      <c r="A10" s="82">
        <v>5</v>
      </c>
      <c r="B10" s="95">
        <f t="shared" si="0"/>
        <v>1339780.1651321838</v>
      </c>
      <c r="C10" s="96">
        <f t="shared" si="1"/>
        <v>-3205.376590860038</v>
      </c>
      <c r="D10" s="97">
        <f t="shared" si="2"/>
        <v>-15149.169678816024</v>
      </c>
      <c r="E10" s="98">
        <f t="shared" si="3"/>
        <v>1324630.9954533677</v>
      </c>
    </row>
    <row r="11" spans="1:5" ht="13.5">
      <c r="A11" s="82">
        <v>6</v>
      </c>
      <c r="B11" s="95">
        <f t="shared" si="0"/>
        <v>1324630.9954533677</v>
      </c>
      <c r="C11" s="96">
        <f t="shared" si="1"/>
        <v>-3133.2987037781786</v>
      </c>
      <c r="D11" s="97">
        <f t="shared" si="2"/>
        <v>-15187.042603013066</v>
      </c>
      <c r="E11" s="98">
        <f t="shared" si="3"/>
        <v>1309443.9528503546</v>
      </c>
    </row>
    <row r="12" spans="1:5" ht="13.5">
      <c r="A12" s="82">
        <v>7</v>
      </c>
      <c r="B12" s="95">
        <f t="shared" si="0"/>
        <v>1309443.9528503546</v>
      </c>
      <c r="C12" s="96">
        <f t="shared" si="1"/>
        <v>-3061.8633315292172</v>
      </c>
      <c r="D12" s="97">
        <f t="shared" si="2"/>
        <v>-15225.010209520597</v>
      </c>
      <c r="E12" s="98">
        <f t="shared" si="3"/>
        <v>1294218.942640834</v>
      </c>
    </row>
    <row r="13" spans="1:5" ht="13.5">
      <c r="A13" s="82">
        <v>8</v>
      </c>
      <c r="B13" s="95">
        <f t="shared" si="0"/>
        <v>1294218.942640834</v>
      </c>
      <c r="C13" s="96">
        <f t="shared" si="1"/>
        <v>-2991.0761990899255</v>
      </c>
      <c r="D13" s="97">
        <f t="shared" si="2"/>
        <v>-15263.072735044398</v>
      </c>
      <c r="E13" s="98">
        <f t="shared" si="3"/>
        <v>1278955.8699057896</v>
      </c>
    </row>
    <row r="14" spans="1:5" ht="13.5">
      <c r="A14" s="82">
        <v>9</v>
      </c>
      <c r="B14" s="95">
        <f t="shared" si="0"/>
        <v>1278955.8699057896</v>
      </c>
      <c r="C14" s="96">
        <f t="shared" si="1"/>
        <v>-2920.943066368705</v>
      </c>
      <c r="D14" s="97">
        <f t="shared" si="2"/>
        <v>-15301.23041688201</v>
      </c>
      <c r="E14" s="98">
        <f t="shared" si="3"/>
        <v>1263654.6394889075</v>
      </c>
    </row>
    <row r="15" spans="1:5" ht="15" thickBot="1">
      <c r="A15" s="82">
        <v>10</v>
      </c>
      <c r="B15" s="95">
        <f t="shared" si="0"/>
        <v>1263654.6394889075</v>
      </c>
      <c r="C15" s="96">
        <f t="shared" si="1"/>
        <v>-2851.4697283961445</v>
      </c>
      <c r="D15" s="97">
        <f t="shared" si="2"/>
        <v>-15339.483492924215</v>
      </c>
      <c r="E15" s="98">
        <f t="shared" si="3"/>
        <v>1248315.1559959834</v>
      </c>
    </row>
    <row r="16" spans="1:8" ht="15" thickBot="1">
      <c r="A16" s="82">
        <v>11</v>
      </c>
      <c r="B16" s="95">
        <f t="shared" si="0"/>
        <v>1248315.1559959834</v>
      </c>
      <c r="C16" s="96">
        <f t="shared" si="1"/>
        <v>-2782.6620155165647</v>
      </c>
      <c r="D16" s="97">
        <f t="shared" si="2"/>
        <v>-15377.832201656525</v>
      </c>
      <c r="E16" s="98">
        <f t="shared" si="3"/>
        <v>1232937.323794327</v>
      </c>
      <c r="G16" s="85" t="s">
        <v>30</v>
      </c>
      <c r="H16" s="99">
        <f>-SUM(D6:D17)</f>
        <v>182478.95298783385</v>
      </c>
    </row>
    <row r="17" spans="1:8" ht="15" thickBot="1">
      <c r="A17" s="82">
        <v>12</v>
      </c>
      <c r="B17" s="100">
        <f t="shared" si="0"/>
        <v>1232937.323794327</v>
      </c>
      <c r="C17" s="101">
        <f t="shared" si="1"/>
        <v>-2714.5257935805653</v>
      </c>
      <c r="D17" s="102">
        <f t="shared" si="2"/>
        <v>-15416.276782160667</v>
      </c>
      <c r="E17" s="103">
        <f t="shared" si="3"/>
        <v>1217521.0470121664</v>
      </c>
      <c r="G17" s="85" t="s">
        <v>31</v>
      </c>
      <c r="H17" s="99">
        <f>-SUM(C6:C17)</f>
        <v>37216.15252613235</v>
      </c>
    </row>
    <row r="18" spans="1:8" ht="13.5">
      <c r="A18" s="82">
        <v>13</v>
      </c>
      <c r="B18" s="91">
        <f t="shared" si="0"/>
        <v>1217521.0470121664</v>
      </c>
      <c r="C18" s="92">
        <f t="shared" si="1"/>
        <v>-2647.066964138574</v>
      </c>
      <c r="D18" s="93">
        <f t="shared" si="2"/>
        <v>-15454.81747411607</v>
      </c>
      <c r="E18" s="94">
        <f t="shared" si="3"/>
        <v>1202066.2295380502</v>
      </c>
      <c r="H18" s="104"/>
    </row>
    <row r="19" spans="1:8" ht="13.5">
      <c r="A19" s="82">
        <v>14</v>
      </c>
      <c r="B19" s="95">
        <f t="shared" si="0"/>
        <v>1202066.2295380502</v>
      </c>
      <c r="C19" s="96">
        <f t="shared" si="1"/>
        <v>-2580.2914646354</v>
      </c>
      <c r="D19" s="97">
        <f t="shared" si="2"/>
        <v>-15493.45451780136</v>
      </c>
      <c r="E19" s="98">
        <f t="shared" si="3"/>
        <v>1186572.775020249</v>
      </c>
      <c r="H19" s="104"/>
    </row>
    <row r="20" spans="1:8" ht="13.5">
      <c r="A20" s="82">
        <v>15</v>
      </c>
      <c r="B20" s="95">
        <f t="shared" si="0"/>
        <v>1186572.775020249</v>
      </c>
      <c r="C20" s="96">
        <f t="shared" si="1"/>
        <v>-2514.205268605811</v>
      </c>
      <c r="D20" s="97">
        <f t="shared" si="2"/>
        <v>-15532.188154095864</v>
      </c>
      <c r="E20" s="98">
        <f t="shared" si="3"/>
        <v>1171040.5868661532</v>
      </c>
      <c r="H20" s="104"/>
    </row>
    <row r="21" spans="1:8" ht="13.5">
      <c r="A21" s="82">
        <v>16</v>
      </c>
      <c r="B21" s="95">
        <f t="shared" si="0"/>
        <v>1171040.5868661532</v>
      </c>
      <c r="C21" s="96">
        <f t="shared" si="1"/>
        <v>-2448.814385871114</v>
      </c>
      <c r="D21" s="97">
        <f t="shared" si="2"/>
        <v>-15571.018624481103</v>
      </c>
      <c r="E21" s="98">
        <f t="shared" si="3"/>
        <v>1155469.5682416721</v>
      </c>
      <c r="H21" s="104"/>
    </row>
    <row r="22" spans="1:8" ht="13.5">
      <c r="A22" s="82">
        <v>17</v>
      </c>
      <c r="B22" s="95">
        <f t="shared" si="0"/>
        <v>1155469.5682416721</v>
      </c>
      <c r="C22" s="96">
        <f t="shared" si="1"/>
        <v>-2384.124862736778</v>
      </c>
      <c r="D22" s="97">
        <f t="shared" si="2"/>
        <v>-15609.946171042306</v>
      </c>
      <c r="E22" s="98">
        <f t="shared" si="3"/>
        <v>1139859.6220706298</v>
      </c>
      <c r="H22" s="104"/>
    </row>
    <row r="23" spans="1:8" ht="13.5">
      <c r="A23" s="82">
        <v>18</v>
      </c>
      <c r="B23" s="95">
        <f t="shared" si="0"/>
        <v>1139859.6220706298</v>
      </c>
      <c r="C23" s="96">
        <f t="shared" si="1"/>
        <v>-2320.142782191069</v>
      </c>
      <c r="D23" s="97">
        <f t="shared" si="2"/>
        <v>-15648.971036469911</v>
      </c>
      <c r="E23" s="98">
        <f t="shared" si="3"/>
        <v>1124210.65103416</v>
      </c>
      <c r="H23" s="104"/>
    </row>
    <row r="24" spans="1:8" ht="13.5">
      <c r="A24" s="82">
        <v>19</v>
      </c>
      <c r="B24" s="95">
        <f t="shared" si="0"/>
        <v>1124210.65103416</v>
      </c>
      <c r="C24" s="96">
        <f t="shared" si="1"/>
        <v>-2256.8742641047306</v>
      </c>
      <c r="D24" s="97">
        <f t="shared" si="2"/>
        <v>-15688.093464061085</v>
      </c>
      <c r="E24" s="98">
        <f t="shared" si="3"/>
        <v>1108522.557570099</v>
      </c>
      <c r="H24" s="104"/>
    </row>
    <row r="25" spans="1:8" ht="13.5">
      <c r="A25" s="82">
        <v>20</v>
      </c>
      <c r="B25" s="95">
        <f t="shared" si="0"/>
        <v>1108522.557570099</v>
      </c>
      <c r="C25" s="96">
        <f t="shared" si="1"/>
        <v>-2194.325465431701</v>
      </c>
      <c r="D25" s="97">
        <f t="shared" si="2"/>
        <v>-15727.313697721236</v>
      </c>
      <c r="E25" s="98">
        <f t="shared" si="3"/>
        <v>1092795.2438723776</v>
      </c>
      <c r="H25" s="104"/>
    </row>
    <row r="26" spans="1:8" ht="13.5">
      <c r="A26" s="82">
        <v>21</v>
      </c>
      <c r="B26" s="95">
        <f t="shared" si="0"/>
        <v>1092795.2438723776</v>
      </c>
      <c r="C26" s="96">
        <f t="shared" si="1"/>
        <v>-2132.5025804108727</v>
      </c>
      <c r="D26" s="97">
        <f t="shared" si="2"/>
        <v>-15766.631981965542</v>
      </c>
      <c r="E26" s="98">
        <f t="shared" si="3"/>
        <v>1077028.611890412</v>
      </c>
      <c r="H26" s="104"/>
    </row>
    <row r="27" spans="1:8" ht="15" thickBot="1">
      <c r="A27" s="82">
        <v>22</v>
      </c>
      <c r="B27" s="95">
        <f t="shared" si="0"/>
        <v>1077028.611890412</v>
      </c>
      <c r="C27" s="96">
        <f t="shared" si="1"/>
        <v>-2071.4118407689057</v>
      </c>
      <c r="D27" s="97">
        <f t="shared" si="2"/>
        <v>-15806.048561920457</v>
      </c>
      <c r="E27" s="98">
        <f t="shared" si="3"/>
        <v>1061222.5633284915</v>
      </c>
      <c r="H27" s="104"/>
    </row>
    <row r="28" spans="1:8" ht="15" thickBot="1">
      <c r="A28" s="82">
        <v>23</v>
      </c>
      <c r="B28" s="95">
        <f t="shared" si="0"/>
        <v>1061222.5633284915</v>
      </c>
      <c r="C28" s="96">
        <f t="shared" si="1"/>
        <v>-2011.0595159240963</v>
      </c>
      <c r="D28" s="97">
        <f t="shared" si="2"/>
        <v>-15845.563683325257</v>
      </c>
      <c r="E28" s="98">
        <f t="shared" si="3"/>
        <v>1045376.9996451662</v>
      </c>
      <c r="G28" s="85" t="s">
        <v>30</v>
      </c>
      <c r="H28" s="99">
        <f>-SUM(D18:D29)</f>
        <v>188029.22495953378</v>
      </c>
    </row>
    <row r="29" spans="1:8" ht="15" thickBot="1">
      <c r="A29" s="82">
        <v>24</v>
      </c>
      <c r="B29" s="100">
        <f t="shared" si="0"/>
        <v>1045376.9996451662</v>
      </c>
      <c r="C29" s="101">
        <f t="shared" si="1"/>
        <v>-1951.4519131913025</v>
      </c>
      <c r="D29" s="102">
        <f t="shared" si="2"/>
        <v>-15885.17759253357</v>
      </c>
      <c r="E29" s="103">
        <f t="shared" si="3"/>
        <v>1029491.8220526327</v>
      </c>
      <c r="G29" s="85" t="s">
        <v>31</v>
      </c>
      <c r="H29" s="99">
        <f>-SUM(C18:C29)</f>
        <v>27512.271308010357</v>
      </c>
    </row>
    <row r="30" spans="1:8" ht="13.5">
      <c r="A30" s="82">
        <v>25</v>
      </c>
      <c r="B30" s="91">
        <f t="shared" si="0"/>
        <v>1029491.8220526327</v>
      </c>
      <c r="C30" s="92">
        <f t="shared" si="1"/>
        <v>-1892.5953779879449</v>
      </c>
      <c r="D30" s="93">
        <f t="shared" si="2"/>
        <v>-15924.890536514906</v>
      </c>
      <c r="E30" s="94">
        <f t="shared" si="3"/>
        <v>1013566.9315161178</v>
      </c>
      <c r="H30" s="104"/>
    </row>
    <row r="31" spans="1:8" ht="13.5">
      <c r="A31" s="82">
        <v>26</v>
      </c>
      <c r="B31" s="95">
        <f t="shared" si="0"/>
        <v>1013566.9315161178</v>
      </c>
      <c r="C31" s="96">
        <f t="shared" si="1"/>
        <v>-1834.4962940410685</v>
      </c>
      <c r="D31" s="97">
        <f t="shared" si="2"/>
        <v>-15964.70276285619</v>
      </c>
      <c r="E31" s="98">
        <f t="shared" si="3"/>
        <v>997602.2287532616</v>
      </c>
      <c r="H31" s="104"/>
    </row>
    <row r="32" spans="1:8" ht="13.5">
      <c r="A32" s="82">
        <v>27</v>
      </c>
      <c r="B32" s="95">
        <f t="shared" si="0"/>
        <v>997602.2287532616</v>
      </c>
      <c r="C32" s="96">
        <f t="shared" si="1"/>
        <v>-1777.1610835954905</v>
      </c>
      <c r="D32" s="97">
        <f t="shared" si="2"/>
        <v>-16004.61451976333</v>
      </c>
      <c r="E32" s="98">
        <f t="shared" si="3"/>
        <v>981597.6142334982</v>
      </c>
      <c r="H32" s="104"/>
    </row>
    <row r="33" spans="1:8" ht="13.5">
      <c r="A33" s="82">
        <v>28</v>
      </c>
      <c r="B33" s="95">
        <f t="shared" si="0"/>
        <v>981597.6142334982</v>
      </c>
      <c r="C33" s="96">
        <f t="shared" si="1"/>
        <v>-1720.596207623027</v>
      </c>
      <c r="D33" s="97">
        <f t="shared" si="2"/>
        <v>-16044.626056062738</v>
      </c>
      <c r="E33" s="98">
        <f t="shared" si="3"/>
        <v>965552.9881774355</v>
      </c>
      <c r="H33" s="104"/>
    </row>
    <row r="34" spans="1:8" ht="13.5">
      <c r="A34" s="82">
        <v>29</v>
      </c>
      <c r="B34" s="95">
        <f t="shared" si="0"/>
        <v>965552.9881774355</v>
      </c>
      <c r="C34" s="96">
        <f t="shared" si="1"/>
        <v>-1664.8081660328116</v>
      </c>
      <c r="D34" s="97">
        <f t="shared" si="2"/>
        <v>-16084.737621202896</v>
      </c>
      <c r="E34" s="98">
        <f t="shared" si="3"/>
        <v>949468.2505562325</v>
      </c>
      <c r="H34" s="104"/>
    </row>
    <row r="35" spans="1:8" ht="13.5">
      <c r="A35" s="82">
        <v>30</v>
      </c>
      <c r="B35" s="95">
        <f t="shared" si="0"/>
        <v>949468.2505562325</v>
      </c>
      <c r="C35" s="96">
        <f t="shared" si="1"/>
        <v>-1609.8034978827009</v>
      </c>
      <c r="D35" s="97">
        <f t="shared" si="2"/>
        <v>-16124.949465255902</v>
      </c>
      <c r="E35" s="98">
        <f t="shared" si="3"/>
        <v>933343.3010909766</v>
      </c>
      <c r="H35" s="104"/>
    </row>
    <row r="36" spans="1:8" ht="13.5">
      <c r="A36" s="82">
        <v>31</v>
      </c>
      <c r="B36" s="95">
        <f t="shared" si="0"/>
        <v>933343.3010909766</v>
      </c>
      <c r="C36" s="96">
        <f t="shared" si="1"/>
        <v>-1555.5887815917877</v>
      </c>
      <c r="D36" s="97">
        <f t="shared" si="2"/>
        <v>-16165.261838919043</v>
      </c>
      <c r="E36" s="98">
        <f t="shared" si="3"/>
        <v>917178.0392520576</v>
      </c>
      <c r="H36" s="104"/>
    </row>
    <row r="37" spans="1:8" ht="13.5">
      <c r="A37" s="82">
        <v>32</v>
      </c>
      <c r="B37" s="95">
        <f t="shared" si="0"/>
        <v>917178.0392520576</v>
      </c>
      <c r="C37" s="96">
        <f t="shared" si="1"/>
        <v>-1502.1706351540154</v>
      </c>
      <c r="D37" s="97">
        <f t="shared" si="2"/>
        <v>-16205.674993516343</v>
      </c>
      <c r="E37" s="98">
        <f t="shared" si="3"/>
        <v>900972.3642585413</v>
      </c>
      <c r="H37" s="104"/>
    </row>
    <row r="38" spans="1:8" ht="13.5">
      <c r="A38" s="82">
        <v>33</v>
      </c>
      <c r="B38" s="95">
        <f t="shared" si="0"/>
        <v>900972.3642585413</v>
      </c>
      <c r="C38" s="96">
        <f t="shared" si="1"/>
        <v>-1449.5557163529027</v>
      </c>
      <c r="D38" s="97">
        <f t="shared" si="2"/>
        <v>-16246.189181000133</v>
      </c>
      <c r="E38" s="98">
        <f t="shared" si="3"/>
        <v>884726.1750775411</v>
      </c>
      <c r="H38" s="104"/>
    </row>
    <row r="39" spans="1:8" ht="15" thickBot="1">
      <c r="A39" s="82">
        <v>34</v>
      </c>
      <c r="B39" s="95">
        <f t="shared" si="0"/>
        <v>884726.1750775411</v>
      </c>
      <c r="C39" s="96">
        <f t="shared" si="1"/>
        <v>-1397.7507229773853</v>
      </c>
      <c r="D39" s="97">
        <f t="shared" si="2"/>
        <v>-16286.804653952631</v>
      </c>
      <c r="E39" s="98">
        <f t="shared" si="3"/>
        <v>868439.3704235886</v>
      </c>
      <c r="H39" s="104"/>
    </row>
    <row r="40" spans="1:8" ht="15" thickBot="1">
      <c r="A40" s="82">
        <v>35</v>
      </c>
      <c r="B40" s="95">
        <f t="shared" si="0"/>
        <v>868439.3704235886</v>
      </c>
      <c r="C40" s="96">
        <f t="shared" si="1"/>
        <v>-1346.762393038783</v>
      </c>
      <c r="D40" s="97">
        <f t="shared" si="2"/>
        <v>-16327.521665587512</v>
      </c>
      <c r="E40" s="98">
        <f t="shared" si="3"/>
        <v>852111.848758001</v>
      </c>
      <c r="G40" s="85" t="s">
        <v>30</v>
      </c>
      <c r="H40" s="99">
        <f>-SUM(D30:D41)</f>
        <v>193748.3137643831</v>
      </c>
    </row>
    <row r="41" spans="1:8" ht="15" thickBot="1">
      <c r="A41" s="82">
        <v>36</v>
      </c>
      <c r="B41" s="100">
        <f t="shared" si="0"/>
        <v>852111.848758001</v>
      </c>
      <c r="C41" s="101">
        <f t="shared" si="1"/>
        <v>-1296.5975049888896</v>
      </c>
      <c r="D41" s="102">
        <f t="shared" si="2"/>
        <v>-16368.340469751482</v>
      </c>
      <c r="E41" s="103">
        <f t="shared" si="3"/>
        <v>835743.5082882495</v>
      </c>
      <c r="G41" s="85" t="s">
        <v>31</v>
      </c>
      <c r="H41" s="99">
        <f>-SUM(C30:C41)</f>
        <v>19047.88638126681</v>
      </c>
    </row>
    <row r="42" spans="1:8" ht="13.5">
      <c r="A42" s="82">
        <v>37</v>
      </c>
      <c r="B42" s="91">
        <f t="shared" si="0"/>
        <v>835743.5082882495</v>
      </c>
      <c r="C42" s="92">
        <f t="shared" si="1"/>
        <v>-1247.2628779391985</v>
      </c>
      <c r="D42" s="93">
        <f t="shared" si="2"/>
        <v>-16409.26132092586</v>
      </c>
      <c r="E42" s="94">
        <f t="shared" si="3"/>
        <v>819334.2469673236</v>
      </c>
      <c r="H42" s="104"/>
    </row>
    <row r="43" spans="1:8" ht="13.5">
      <c r="A43" s="82">
        <v>38</v>
      </c>
      <c r="B43" s="95">
        <f t="shared" si="0"/>
        <v>819334.2469673236</v>
      </c>
      <c r="C43" s="96">
        <f t="shared" si="1"/>
        <v>-1198.7653718812696</v>
      </c>
      <c r="D43" s="97">
        <f t="shared" si="2"/>
        <v>-16450.284474228178</v>
      </c>
      <c r="E43" s="98">
        <f t="shared" si="3"/>
        <v>802883.9624930954</v>
      </c>
      <c r="H43" s="104"/>
    </row>
    <row r="44" spans="1:8" ht="13.5">
      <c r="A44" s="82">
        <v>39</v>
      </c>
      <c r="B44" s="95">
        <f t="shared" si="0"/>
        <v>802883.9624930954</v>
      </c>
      <c r="C44" s="96">
        <f t="shared" si="1"/>
        <v>-1151.1118879082394</v>
      </c>
      <c r="D44" s="97">
        <f t="shared" si="2"/>
        <v>-16491.410185413744</v>
      </c>
      <c r="E44" s="98">
        <f t="shared" si="3"/>
        <v>786392.5523076816</v>
      </c>
      <c r="H44" s="104"/>
    </row>
    <row r="45" spans="1:8" ht="13.5">
      <c r="A45" s="82">
        <v>40</v>
      </c>
      <c r="B45" s="95">
        <f t="shared" si="0"/>
        <v>786392.5523076816</v>
      </c>
      <c r="C45" s="96">
        <f t="shared" si="1"/>
        <v>-1104.3093684374815</v>
      </c>
      <c r="D45" s="97">
        <f t="shared" si="2"/>
        <v>-16532.63871087728</v>
      </c>
      <c r="E45" s="98">
        <f t="shared" si="3"/>
        <v>769859.9135968044</v>
      </c>
      <c r="H45" s="104"/>
    </row>
    <row r="46" spans="1:8" ht="13.5">
      <c r="A46" s="82">
        <v>41</v>
      </c>
      <c r="B46" s="95">
        <f t="shared" si="0"/>
        <v>769859.9135968044</v>
      </c>
      <c r="C46" s="96">
        <f t="shared" si="1"/>
        <v>-1058.3647974344267</v>
      </c>
      <c r="D46" s="97">
        <f t="shared" si="2"/>
        <v>-16573.970307654476</v>
      </c>
      <c r="E46" s="98">
        <f t="shared" si="3"/>
        <v>753285.9432891499</v>
      </c>
      <c r="H46" s="104"/>
    </row>
    <row r="47" spans="1:8" ht="13.5">
      <c r="A47" s="82">
        <v>42</v>
      </c>
      <c r="B47" s="95">
        <f t="shared" si="0"/>
        <v>753285.9432891499</v>
      </c>
      <c r="C47" s="96">
        <f t="shared" si="1"/>
        <v>-1013.2852006375431</v>
      </c>
      <c r="D47" s="97">
        <f t="shared" si="2"/>
        <v>-16615.405233423608</v>
      </c>
      <c r="E47" s="98">
        <f t="shared" si="3"/>
        <v>736670.5380557263</v>
      </c>
      <c r="H47" s="104"/>
    </row>
    <row r="48" spans="1:8" ht="13.5">
      <c r="A48" s="82">
        <v>43</v>
      </c>
      <c r="B48" s="95">
        <f t="shared" si="0"/>
        <v>736670.5380557263</v>
      </c>
      <c r="C48" s="96">
        <f t="shared" si="1"/>
        <v>-969.0776457844877</v>
      </c>
      <c r="D48" s="97">
        <f t="shared" si="2"/>
        <v>-16656.943746507168</v>
      </c>
      <c r="E48" s="98">
        <f t="shared" si="3"/>
        <v>720013.5943092192</v>
      </c>
      <c r="H48" s="104"/>
    </row>
    <row r="49" spans="1:8" ht="13.5">
      <c r="A49" s="82">
        <v>44</v>
      </c>
      <c r="B49" s="95">
        <f t="shared" si="0"/>
        <v>720013.5943092192</v>
      </c>
      <c r="C49" s="96">
        <f t="shared" si="1"/>
        <v>-925.7492428394298</v>
      </c>
      <c r="D49" s="97">
        <f t="shared" si="2"/>
        <v>-16698.586105873437</v>
      </c>
      <c r="E49" s="98">
        <f t="shared" si="3"/>
        <v>703315.0082033457</v>
      </c>
      <c r="H49" s="104"/>
    </row>
    <row r="50" spans="1:8" ht="13.5">
      <c r="A50" s="82">
        <v>45</v>
      </c>
      <c r="B50" s="95">
        <f t="shared" si="0"/>
        <v>703315.0082033457</v>
      </c>
      <c r="C50" s="96">
        <f t="shared" si="1"/>
        <v>-883.3071442215572</v>
      </c>
      <c r="D50" s="97">
        <f t="shared" si="2"/>
        <v>-16740.332571138122</v>
      </c>
      <c r="E50" s="98">
        <f t="shared" si="3"/>
        <v>686574.6756322075</v>
      </c>
      <c r="H50" s="104"/>
    </row>
    <row r="51" spans="1:8" ht="15" thickBot="1">
      <c r="A51" s="82">
        <v>46</v>
      </c>
      <c r="B51" s="95">
        <f t="shared" si="0"/>
        <v>686574.6756322075</v>
      </c>
      <c r="C51" s="96">
        <f t="shared" si="1"/>
        <v>-841.7585450347692</v>
      </c>
      <c r="D51" s="97">
        <f t="shared" si="2"/>
        <v>-16782.183402565966</v>
      </c>
      <c r="E51" s="98">
        <f t="shared" si="3"/>
        <v>669792.4922296415</v>
      </c>
      <c r="H51" s="104"/>
    </row>
    <row r="52" spans="1:8" ht="15" thickBot="1">
      <c r="A52" s="82">
        <v>47</v>
      </c>
      <c r="B52" s="95">
        <f t="shared" si="0"/>
        <v>669792.4922296415</v>
      </c>
      <c r="C52" s="96">
        <f t="shared" si="1"/>
        <v>-801.1106832985614</v>
      </c>
      <c r="D52" s="97">
        <f t="shared" si="2"/>
        <v>-16824.13886107238</v>
      </c>
      <c r="E52" s="98">
        <f t="shared" si="3"/>
        <v>652968.3533685692</v>
      </c>
      <c r="G52" s="85" t="s">
        <v>30</v>
      </c>
      <c r="H52" s="99">
        <f>-SUM(D42:D53)</f>
        <v>199641.35412790527</v>
      </c>
    </row>
    <row r="53" spans="1:8" ht="15" thickBot="1">
      <c r="A53" s="105">
        <v>48</v>
      </c>
      <c r="B53" s="100">
        <f t="shared" si="0"/>
        <v>652968.3533685692</v>
      </c>
      <c r="C53" s="101">
        <f t="shared" si="1"/>
        <v>-761.3708401801081</v>
      </c>
      <c r="D53" s="102">
        <f t="shared" si="2"/>
        <v>-16866.19920822506</v>
      </c>
      <c r="E53" s="103">
        <f t="shared" si="3"/>
        <v>636102.1541603442</v>
      </c>
      <c r="F53" s="105"/>
      <c r="G53" s="85" t="s">
        <v>31</v>
      </c>
      <c r="H53" s="99">
        <f>-SUM(C42:C53)</f>
        <v>11955.473605597072</v>
      </c>
    </row>
    <row r="54" spans="1:8" ht="13.5">
      <c r="A54" s="82">
        <v>49</v>
      </c>
      <c r="B54" s="106">
        <f t="shared" si="0"/>
        <v>636102.1541603442</v>
      </c>
      <c r="C54" s="96">
        <f t="shared" si="1"/>
        <v>-722.5463402275536</v>
      </c>
      <c r="D54" s="97">
        <f t="shared" si="2"/>
        <v>-16908.364706245622</v>
      </c>
      <c r="E54" s="107">
        <f t="shared" si="3"/>
        <v>619193.7894540986</v>
      </c>
      <c r="H54" s="104"/>
    </row>
    <row r="55" spans="1:8" ht="13.5">
      <c r="A55" s="105">
        <v>50</v>
      </c>
      <c r="B55" s="106">
        <f t="shared" si="0"/>
        <v>619193.7894540986</v>
      </c>
      <c r="C55" s="96">
        <f t="shared" si="1"/>
        <v>-684.6445516045113</v>
      </c>
      <c r="D55" s="97">
        <f t="shared" si="2"/>
        <v>-16950.635618011238</v>
      </c>
      <c r="E55" s="107">
        <f t="shared" si="3"/>
        <v>602243.1538360873</v>
      </c>
      <c r="H55" s="104"/>
    </row>
    <row r="56" spans="1:8" ht="13.5">
      <c r="A56" s="82">
        <v>51</v>
      </c>
      <c r="B56" s="106">
        <f t="shared" si="0"/>
        <v>602243.1538360873</v>
      </c>
      <c r="C56" s="96">
        <f t="shared" si="1"/>
        <v>-647.6728863257804</v>
      </c>
      <c r="D56" s="97">
        <f t="shared" si="2"/>
        <v>-16993.012207056265</v>
      </c>
      <c r="E56" s="107">
        <f t="shared" si="3"/>
        <v>585250.141629031</v>
      </c>
      <c r="H56" s="104"/>
    </row>
    <row r="57" spans="1:8" ht="13.5">
      <c r="A57" s="105">
        <v>52</v>
      </c>
      <c r="B57" s="106">
        <f t="shared" si="0"/>
        <v>585250.141629031</v>
      </c>
      <c r="C57" s="96">
        <f t="shared" si="1"/>
        <v>-611.638800494287</v>
      </c>
      <c r="D57" s="97">
        <f t="shared" si="2"/>
        <v>-17035.494737573907</v>
      </c>
      <c r="E57" s="107">
        <f t="shared" si="3"/>
        <v>568214.6468914571</v>
      </c>
      <c r="H57" s="104"/>
    </row>
    <row r="58" spans="1:8" ht="13.5">
      <c r="A58" s="82">
        <v>53</v>
      </c>
      <c r="B58" s="106">
        <f t="shared" si="0"/>
        <v>568214.6468914571</v>
      </c>
      <c r="C58" s="96">
        <f t="shared" si="1"/>
        <v>-576.5497945392557</v>
      </c>
      <c r="D58" s="97">
        <f t="shared" si="2"/>
        <v>-17078.083474417843</v>
      </c>
      <c r="E58" s="107">
        <f t="shared" si="3"/>
        <v>551136.5634170393</v>
      </c>
      <c r="H58" s="104"/>
    </row>
    <row r="59" spans="1:8" ht="13.5">
      <c r="A59" s="105">
        <v>54</v>
      </c>
      <c r="B59" s="106">
        <f t="shared" si="0"/>
        <v>551136.5634170393</v>
      </c>
      <c r="C59" s="96">
        <f t="shared" si="1"/>
        <v>-542.4134134556143</v>
      </c>
      <c r="D59" s="97">
        <f t="shared" si="2"/>
        <v>-17120.778683103887</v>
      </c>
      <c r="E59" s="107">
        <f t="shared" si="3"/>
        <v>534015.7847339355</v>
      </c>
      <c r="H59" s="104"/>
    </row>
    <row r="60" spans="1:8" ht="13.5">
      <c r="A60" s="82">
        <v>55</v>
      </c>
      <c r="B60" s="106">
        <f t="shared" si="0"/>
        <v>534015.7847339355</v>
      </c>
      <c r="C60" s="96">
        <f t="shared" si="1"/>
        <v>-509.2372470446441</v>
      </c>
      <c r="D60" s="97">
        <f t="shared" si="2"/>
        <v>-17163.580629811644</v>
      </c>
      <c r="E60" s="107">
        <f t="shared" si="3"/>
        <v>516852.20410412387</v>
      </c>
      <c r="H60" s="104"/>
    </row>
    <row r="61" spans="1:8" ht="13.5">
      <c r="A61" s="105">
        <v>56</v>
      </c>
      <c r="B61" s="106">
        <f t="shared" si="0"/>
        <v>516852.20410412387</v>
      </c>
      <c r="C61" s="96">
        <f t="shared" si="1"/>
        <v>-477.02893015587625</v>
      </c>
      <c r="D61" s="97">
        <f t="shared" si="2"/>
        <v>-17206.489581386173</v>
      </c>
      <c r="E61" s="107">
        <f t="shared" si="3"/>
        <v>499645.7145227377</v>
      </c>
      <c r="H61" s="104"/>
    </row>
    <row r="62" spans="1:8" ht="13.5">
      <c r="A62" s="82">
        <v>57</v>
      </c>
      <c r="B62" s="106">
        <f t="shared" si="0"/>
        <v>499645.7145227377</v>
      </c>
      <c r="C62" s="96">
        <f t="shared" si="1"/>
        <v>-445.7961429302445</v>
      </c>
      <c r="D62" s="97">
        <f t="shared" si="2"/>
        <v>-17249.50580533964</v>
      </c>
      <c r="E62" s="107">
        <f t="shared" si="3"/>
        <v>482396.20871739805</v>
      </c>
      <c r="H62" s="104"/>
    </row>
    <row r="63" spans="1:8" ht="15" thickBot="1">
      <c r="A63" s="105">
        <v>58</v>
      </c>
      <c r="B63" s="106">
        <f t="shared" si="0"/>
        <v>482396.20871739805</v>
      </c>
      <c r="C63" s="96">
        <f t="shared" si="1"/>
        <v>-415.5466110444988</v>
      </c>
      <c r="D63" s="97">
        <f t="shared" si="2"/>
        <v>-17292.62956985299</v>
      </c>
      <c r="E63" s="107">
        <f t="shared" si="3"/>
        <v>465103.57914754504</v>
      </c>
      <c r="H63" s="104"/>
    </row>
    <row r="64" spans="1:8" ht="15" thickBot="1">
      <c r="A64" s="82">
        <v>59</v>
      </c>
      <c r="B64" s="106">
        <f t="shared" si="0"/>
        <v>465103.57914754504</v>
      </c>
      <c r="C64" s="96">
        <f t="shared" si="1"/>
        <v>-386.2881059568867</v>
      </c>
      <c r="D64" s="97">
        <f t="shared" si="2"/>
        <v>-17335.861143777624</v>
      </c>
      <c r="E64" s="107">
        <f t="shared" si="3"/>
        <v>447767.7180037674</v>
      </c>
      <c r="G64" s="85" t="s">
        <v>30</v>
      </c>
      <c r="H64" s="99">
        <f>-SUM(D54:D65)</f>
        <v>205713.6369532139</v>
      </c>
    </row>
    <row r="65" spans="1:8" ht="15" thickBot="1">
      <c r="A65" s="105">
        <v>60</v>
      </c>
      <c r="B65" s="108">
        <f t="shared" si="0"/>
        <v>447767.7180037674</v>
      </c>
      <c r="C65" s="109">
        <f t="shared" si="1"/>
        <v>-358.0284451541093</v>
      </c>
      <c r="D65" s="110">
        <f t="shared" si="2"/>
        <v>-17379.200796637066</v>
      </c>
      <c r="E65" s="111">
        <f t="shared" si="3"/>
        <v>430388.5172071304</v>
      </c>
      <c r="G65" s="85" t="s">
        <v>31</v>
      </c>
      <c r="H65" s="99">
        <f>-SUM(C54:C65)</f>
        <v>6377.391268933261</v>
      </c>
    </row>
    <row r="66" spans="1:8" ht="13.5">
      <c r="A66" s="82">
        <v>61</v>
      </c>
      <c r="B66" s="106">
        <f t="shared" si="0"/>
        <v>430388.5172071304</v>
      </c>
      <c r="C66" s="96">
        <f t="shared" si="1"/>
        <v>-330.7754923995575</v>
      </c>
      <c r="D66" s="97">
        <f t="shared" si="2"/>
        <v>-17422.64879862866</v>
      </c>
      <c r="E66" s="107">
        <f t="shared" si="3"/>
        <v>412965.86840850173</v>
      </c>
      <c r="H66" s="104"/>
    </row>
    <row r="67" spans="1:8" ht="13.5">
      <c r="A67" s="105">
        <v>62</v>
      </c>
      <c r="B67" s="106">
        <f t="shared" si="0"/>
        <v>412965.86840850173</v>
      </c>
      <c r="C67" s="96">
        <f t="shared" si="1"/>
        <v>-304.53715798283537</v>
      </c>
      <c r="D67" s="97">
        <f t="shared" si="2"/>
        <v>-17466.20542062523</v>
      </c>
      <c r="E67" s="107">
        <f t="shared" si="3"/>
        <v>395499.6629878765</v>
      </c>
      <c r="H67" s="104"/>
    </row>
    <row r="68" spans="1:8" ht="13.5">
      <c r="A68" s="82">
        <v>63</v>
      </c>
      <c r="B68" s="106">
        <f t="shared" si="0"/>
        <v>395499.6629878765</v>
      </c>
      <c r="C68" s="96">
        <f t="shared" si="1"/>
        <v>-279.3213989705781</v>
      </c>
      <c r="D68" s="97">
        <f t="shared" si="2"/>
        <v>-17509.870934176794</v>
      </c>
      <c r="E68" s="107">
        <f t="shared" si="3"/>
        <v>377989.7920536997</v>
      </c>
      <c r="H68" s="104"/>
    </row>
    <row r="69" spans="1:8" ht="13.5">
      <c r="A69" s="105">
        <v>64</v>
      </c>
      <c r="B69" s="106">
        <f t="shared" si="0"/>
        <v>377989.7920536997</v>
      </c>
      <c r="C69" s="96">
        <f t="shared" si="1"/>
        <v>-255.13621945856966</v>
      </c>
      <c r="D69" s="97">
        <f t="shared" si="2"/>
        <v>-17553.645611512235</v>
      </c>
      <c r="E69" s="107">
        <f t="shared" si="3"/>
        <v>360436.1464421875</v>
      </c>
      <c r="H69" s="104"/>
    </row>
    <row r="70" spans="1:8" ht="13.5">
      <c r="A70" s="82">
        <v>65</v>
      </c>
      <c r="B70" s="106">
        <f t="shared" si="0"/>
        <v>360436.1464421875</v>
      </c>
      <c r="C70" s="96">
        <f t="shared" si="1"/>
        <v>-231.98967082516765</v>
      </c>
      <c r="D70" s="97">
        <f t="shared" si="2"/>
        <v>-17597.529725541015</v>
      </c>
      <c r="E70" s="107">
        <f t="shared" si="3"/>
        <v>342838.6167166465</v>
      </c>
      <c r="H70" s="104"/>
    </row>
    <row r="71" spans="1:8" ht="13.5">
      <c r="A71" s="105">
        <v>66</v>
      </c>
      <c r="B71" s="106">
        <f aca="true" t="shared" si="4" ref="B71:B82">+E70</f>
        <v>342838.6167166465</v>
      </c>
      <c r="C71" s="96">
        <f aca="true" t="shared" si="5" ref="C71:C82">+IPMT($B$3/12,A71,$B$2,B71,0,)</f>
        <v>-209.88985198604192</v>
      </c>
      <c r="D71" s="97">
        <f aca="true" t="shared" si="6" ref="D71:D82">+PPMT($B$3/12,A71,$B$2,$B$1,0,)</f>
        <v>-17641.523549854868</v>
      </c>
      <c r="E71" s="107">
        <f aca="true" t="shared" si="7" ref="E71:E82">+E70+D71</f>
        <v>325197.0931667916</v>
      </c>
      <c r="H71" s="104"/>
    </row>
    <row r="72" spans="1:8" ht="13.5">
      <c r="A72" s="82">
        <v>67</v>
      </c>
      <c r="B72" s="106">
        <f t="shared" si="4"/>
        <v>325197.0931667916</v>
      </c>
      <c r="C72" s="96">
        <f t="shared" si="5"/>
        <v>-188.84490965023357</v>
      </c>
      <c r="D72" s="97">
        <f t="shared" si="6"/>
        <v>-17685.627358729507</v>
      </c>
      <c r="E72" s="107">
        <f t="shared" si="7"/>
        <v>307511.4658080621</v>
      </c>
      <c r="H72" s="104"/>
    </row>
    <row r="73" spans="1:8" ht="13.5">
      <c r="A73" s="105">
        <v>68</v>
      </c>
      <c r="B73" s="106">
        <f t="shared" si="4"/>
        <v>307511.4658080621</v>
      </c>
      <c r="C73" s="96">
        <f t="shared" si="5"/>
        <v>-168.86303857754075</v>
      </c>
      <c r="D73" s="97">
        <f t="shared" si="6"/>
        <v>-17729.841427126332</v>
      </c>
      <c r="E73" s="107">
        <f t="shared" si="7"/>
        <v>289781.6243809358</v>
      </c>
      <c r="H73" s="104"/>
    </row>
    <row r="74" spans="1:8" ht="13.5">
      <c r="A74" s="82">
        <v>69</v>
      </c>
      <c r="B74" s="106">
        <f t="shared" si="4"/>
        <v>289781.6243809358</v>
      </c>
      <c r="C74" s="96">
        <f t="shared" si="5"/>
        <v>-149.95248183723862</v>
      </c>
      <c r="D74" s="97">
        <f t="shared" si="6"/>
        <v>-17774.166030694145</v>
      </c>
      <c r="E74" s="107">
        <f t="shared" si="7"/>
        <v>272007.45835024165</v>
      </c>
      <c r="H74" s="104"/>
    </row>
    <row r="75" spans="1:8" ht="15" thickBot="1">
      <c r="A75" s="105">
        <v>70</v>
      </c>
      <c r="B75" s="106">
        <f t="shared" si="4"/>
        <v>272007.45835024165</v>
      </c>
      <c r="C75" s="96">
        <f t="shared" si="5"/>
        <v>-132.12153106813986</v>
      </c>
      <c r="D75" s="97">
        <f t="shared" si="6"/>
        <v>-17818.60144577088</v>
      </c>
      <c r="E75" s="107">
        <f t="shared" si="7"/>
        <v>254188.85690447077</v>
      </c>
      <c r="H75" s="104"/>
    </row>
    <row r="76" spans="1:8" ht="15" thickBot="1">
      <c r="A76" s="82">
        <v>71</v>
      </c>
      <c r="B76" s="106">
        <f t="shared" si="4"/>
        <v>254188.85690447077</v>
      </c>
      <c r="C76" s="96">
        <f t="shared" si="5"/>
        <v>-115.37852674000251</v>
      </c>
      <c r="D76" s="97">
        <f t="shared" si="6"/>
        <v>-17863.147949385308</v>
      </c>
      <c r="E76" s="107">
        <f t="shared" si="7"/>
        <v>236325.70895508546</v>
      </c>
      <c r="G76" s="85" t="s">
        <v>30</v>
      </c>
      <c r="H76" s="99">
        <f>-SUM(D66:D77)</f>
        <v>211970.61407130375</v>
      </c>
    </row>
    <row r="77" spans="1:8" ht="15" thickBot="1">
      <c r="A77" s="105">
        <v>72</v>
      </c>
      <c r="B77" s="108">
        <f t="shared" si="4"/>
        <v>236325.70895508546</v>
      </c>
      <c r="C77" s="109">
        <f t="shared" si="5"/>
        <v>-99.73185841629224</v>
      </c>
      <c r="D77" s="110">
        <f t="shared" si="6"/>
        <v>-17907.80581925877</v>
      </c>
      <c r="E77" s="111">
        <f t="shared" si="7"/>
        <v>218417.9031358267</v>
      </c>
      <c r="G77" s="85" t="s">
        <v>31</v>
      </c>
      <c r="H77" s="99">
        <f>-SUM(C66:C77)</f>
        <v>2466.542137912198</v>
      </c>
    </row>
    <row r="78" spans="1:8" ht="13.5">
      <c r="A78" s="82">
        <v>73</v>
      </c>
      <c r="B78" s="106">
        <f t="shared" si="4"/>
        <v>218417.9031358267</v>
      </c>
      <c r="C78" s="96">
        <f t="shared" si="5"/>
        <v>-85.18996501830583</v>
      </c>
      <c r="D78" s="97">
        <f t="shared" si="6"/>
        <v>-17952.57533380692</v>
      </c>
      <c r="E78" s="107">
        <f t="shared" si="7"/>
        <v>200465.32780201978</v>
      </c>
      <c r="H78" s="104"/>
    </row>
    <row r="79" spans="1:8" ht="13.5">
      <c r="A79" s="105">
        <v>74</v>
      </c>
      <c r="B79" s="106">
        <f t="shared" si="4"/>
        <v>200465.32780201978</v>
      </c>
      <c r="C79" s="96">
        <f t="shared" si="5"/>
        <v>-71.76133509066275</v>
      </c>
      <c r="D79" s="97">
        <f t="shared" si="6"/>
        <v>-17997.456772141435</v>
      </c>
      <c r="E79" s="107">
        <f t="shared" si="7"/>
        <v>182467.87102987833</v>
      </c>
      <c r="H79" s="104"/>
    </row>
    <row r="80" spans="1:8" ht="13.5">
      <c r="A80" s="82">
        <v>75</v>
      </c>
      <c r="B80" s="106">
        <f t="shared" si="4"/>
        <v>182467.87102987833</v>
      </c>
      <c r="C80" s="96">
        <f t="shared" si="5"/>
        <v>-59.454507068171836</v>
      </c>
      <c r="D80" s="97">
        <f t="shared" si="6"/>
        <v>-18042.450414071787</v>
      </c>
      <c r="E80" s="107">
        <f t="shared" si="7"/>
        <v>164425.42061580654</v>
      </c>
      <c r="H80" s="104"/>
    </row>
    <row r="81" spans="1:8" ht="13.5">
      <c r="A81" s="105">
        <v>76</v>
      </c>
      <c r="B81" s="106">
        <f t="shared" si="4"/>
        <v>164425.42061580654</v>
      </c>
      <c r="C81" s="96">
        <f t="shared" si="5"/>
        <v>-48.278069544080026</v>
      </c>
      <c r="D81" s="97">
        <f t="shared" si="6"/>
        <v>-18087.55654010697</v>
      </c>
      <c r="E81" s="107">
        <f t="shared" si="7"/>
        <v>146337.86407569956</v>
      </c>
      <c r="H81" s="104"/>
    </row>
    <row r="82" spans="1:8" ht="13.5">
      <c r="A82" s="82">
        <v>77</v>
      </c>
      <c r="B82" s="106">
        <f t="shared" si="4"/>
        <v>146337.86407569956</v>
      </c>
      <c r="C82" s="96">
        <f t="shared" si="5"/>
        <v>-38.24066153971045</v>
      </c>
      <c r="D82" s="97">
        <f t="shared" si="6"/>
        <v>-18132.775431457238</v>
      </c>
      <c r="E82" s="107">
        <f t="shared" si="7"/>
        <v>128205.08864424232</v>
      </c>
      <c r="H82" s="104"/>
    </row>
    <row r="83" spans="1:8" ht="13.5">
      <c r="A83" s="105">
        <v>78</v>
      </c>
      <c r="B83" s="106">
        <f aca="true" t="shared" si="8" ref="B83:B89">+E82</f>
        <v>128205.08864424232</v>
      </c>
      <c r="C83" s="96">
        <f aca="true" t="shared" si="9" ref="C83:C89">+IPMT($B$3/12,A83,$B$2,B83,0,)</f>
        <v>-29.350972775496384</v>
      </c>
      <c r="D83" s="97">
        <f aca="true" t="shared" si="10" ref="D83:D89">+PPMT($B$3/12,A83,$B$2,$B$1,0,)</f>
        <v>-18178.10737003588</v>
      </c>
      <c r="E83" s="107">
        <f aca="true" t="shared" si="11" ref="E83:E89">+E82+D83</f>
        <v>110026.98127420644</v>
      </c>
      <c r="H83" s="104"/>
    </row>
    <row r="84" spans="1:8" ht="13.5">
      <c r="A84" s="82">
        <v>79</v>
      </c>
      <c r="B84" s="106">
        <f t="shared" si="8"/>
        <v>110026.98127420644</v>
      </c>
      <c r="C84" s="96">
        <f t="shared" si="9"/>
        <v>-21.617743943418795</v>
      </c>
      <c r="D84" s="97">
        <f t="shared" si="10"/>
        <v>-18223.55263846097</v>
      </c>
      <c r="E84" s="107">
        <f t="shared" si="11"/>
        <v>91803.42863574547</v>
      </c>
      <c r="H84" s="104"/>
    </row>
    <row r="85" spans="1:8" ht="13.5">
      <c r="A85" s="105">
        <v>80</v>
      </c>
      <c r="B85" s="106">
        <f t="shared" si="8"/>
        <v>91803.42863574547</v>
      </c>
      <c r="C85" s="96">
        <f t="shared" si="9"/>
        <v>-15.049766980854232</v>
      </c>
      <c r="D85" s="97">
        <f t="shared" si="10"/>
        <v>-18269.111520057122</v>
      </c>
      <c r="E85" s="107">
        <f t="shared" si="11"/>
        <v>73534.31711568835</v>
      </c>
      <c r="H85" s="104"/>
    </row>
    <row r="86" spans="1:8" ht="13.5">
      <c r="A86" s="82">
        <v>81</v>
      </c>
      <c r="B86" s="106">
        <f t="shared" si="8"/>
        <v>73534.31711568835</v>
      </c>
      <c r="C86" s="96">
        <f t="shared" si="9"/>
        <v>-9.655885345840327</v>
      </c>
      <c r="D86" s="97">
        <f t="shared" si="10"/>
        <v>-18314.784298857263</v>
      </c>
      <c r="E86" s="107">
        <f t="shared" si="11"/>
        <v>55219.53281683108</v>
      </c>
      <c r="H86" s="104"/>
    </row>
    <row r="87" spans="1:8" ht="15" thickBot="1">
      <c r="A87" s="105">
        <v>82</v>
      </c>
      <c r="B87" s="106">
        <f t="shared" si="8"/>
        <v>55219.53281683108</v>
      </c>
      <c r="C87" s="96">
        <f t="shared" si="9"/>
        <v>-5.444994293766179</v>
      </c>
      <c r="D87" s="97">
        <f t="shared" si="10"/>
        <v>-18360.571259604407</v>
      </c>
      <c r="E87" s="107">
        <f t="shared" si="11"/>
        <v>36858.96155722668</v>
      </c>
      <c r="H87" s="104"/>
    </row>
    <row r="88" spans="1:8" ht="15" thickBot="1">
      <c r="A88" s="82">
        <v>83</v>
      </c>
      <c r="B88" s="106">
        <f t="shared" si="8"/>
        <v>36858.96155722668</v>
      </c>
      <c r="C88" s="96">
        <f t="shared" si="9"/>
        <v>-2.4260411554948162</v>
      </c>
      <c r="D88" s="97">
        <f t="shared" si="10"/>
        <v>-18406.47268775342</v>
      </c>
      <c r="E88" s="107">
        <f t="shared" si="11"/>
        <v>18452.488869473258</v>
      </c>
      <c r="G88" s="85" t="s">
        <v>30</v>
      </c>
      <c r="H88" s="99">
        <f>-SUM(D78:D89)</f>
        <v>218417.90313582623</v>
      </c>
    </row>
    <row r="89" spans="1:8" ht="15" thickBot="1">
      <c r="A89" s="105">
        <v>84</v>
      </c>
      <c r="B89" s="108">
        <f t="shared" si="8"/>
        <v>18452.488869473258</v>
      </c>
      <c r="C89" s="109">
        <f t="shared" si="9"/>
        <v>-0.6080256169250466</v>
      </c>
      <c r="D89" s="110">
        <f t="shared" si="10"/>
        <v>-18452.488869472803</v>
      </c>
      <c r="E89" s="111">
        <f t="shared" si="11"/>
        <v>4.547473508864641E-10</v>
      </c>
      <c r="G89" s="85" t="s">
        <v>31</v>
      </c>
      <c r="H89" s="99">
        <f>-SUM(C78:C89)</f>
        <v>387.0779683727267</v>
      </c>
    </row>
    <row r="90" spans="2:8" ht="15" thickBot="1">
      <c r="B90" s="104"/>
      <c r="C90" s="112">
        <f>+SUM(C6:C89)</f>
        <v>-104962.79519622475</v>
      </c>
      <c r="D90" s="104"/>
      <c r="E90" s="104"/>
      <c r="H90" s="104"/>
    </row>
    <row r="91" spans="2:8" ht="15" thickBot="1">
      <c r="B91" s="104"/>
      <c r="C91" s="104"/>
      <c r="D91" s="104"/>
      <c r="E91" s="104"/>
      <c r="H91" s="104"/>
    </row>
    <row r="92" spans="2:5" ht="15" thickBot="1">
      <c r="B92" s="113" t="s">
        <v>32</v>
      </c>
      <c r="C92" s="114">
        <f>-C90+B1</f>
        <v>1504962.7951962247</v>
      </c>
      <c r="D92" s="104"/>
      <c r="E92" s="104"/>
    </row>
  </sheetData>
  <sheetProtection password="E9C9" sheet="1" objects="1" scenarios="1" selectLockedCells="1"/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69"/>
  <headerFooter alignWithMargins="0">
    <oddHeader>&amp;C&amp;F / &amp;A</oddHeader>
    <oddFooter>&amp;L(c) Batsela H.G llp
2015&amp;R&amp;D
&amp;T</oddFooter>
  </headerFooter>
  <ignoredErrors>
    <ignoredError sqref="B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1"/>
  <sheetViews>
    <sheetView tabSelected="1" zoomScale="75" zoomScaleNormal="75" zoomScalePageLayoutView="0" workbookViewId="0" topLeftCell="A16">
      <pane xSplit="2" topLeftCell="C1" activePane="topRight" state="frozen"/>
      <selection pane="topLeft" activeCell="C16" sqref="C16"/>
      <selection pane="topRight" activeCell="C11" sqref="C11"/>
    </sheetView>
  </sheetViews>
  <sheetFormatPr defaultColWidth="9.140625" defaultRowHeight="12.75" outlineLevelCol="1"/>
  <cols>
    <col min="1" max="1" width="2.7109375" style="2" customWidth="1"/>
    <col min="2" max="2" width="68.8515625" style="3" bestFit="1" customWidth="1"/>
    <col min="3" max="3" width="20.7109375" style="3" customWidth="1" outlineLevel="1"/>
    <col min="4" max="6" width="22.00390625" style="3" customWidth="1" outlineLevel="1"/>
    <col min="7" max="7" width="23.7109375" style="3" customWidth="1" outlineLevel="1"/>
    <col min="8" max="8" width="24.421875" style="3" customWidth="1" outlineLevel="1"/>
    <col min="9" max="9" width="21.00390625" style="3" customWidth="1" outlineLevel="1"/>
    <col min="10" max="10" width="25.421875" style="3" bestFit="1" customWidth="1"/>
    <col min="11" max="11" width="11.8515625" style="5" customWidth="1"/>
    <col min="12" max="12" width="9.140625" style="5" customWidth="1"/>
    <col min="13" max="16384" width="9.140625" style="5" customWidth="1"/>
  </cols>
  <sheetData>
    <row r="1" spans="3:10" ht="16.5" thickBot="1">
      <c r="C1" s="1" t="s">
        <v>69</v>
      </c>
      <c r="D1" s="1"/>
      <c r="E1" s="1"/>
      <c r="F1" s="1"/>
      <c r="G1" s="1"/>
      <c r="H1" s="1"/>
      <c r="I1" s="1"/>
      <c r="J1" s="4"/>
    </row>
    <row r="2" spans="3:10" ht="16.5" thickBot="1">
      <c r="C2" s="6">
        <f>+'PROFIT &amp; LOSS TABLE'!C2</f>
        <v>2017</v>
      </c>
      <c r="D2" s="6">
        <f aca="true" t="shared" si="0" ref="D2:I2">+C2+1</f>
        <v>2018</v>
      </c>
      <c r="E2" s="6">
        <f t="shared" si="0"/>
        <v>2019</v>
      </c>
      <c r="F2" s="6">
        <f t="shared" si="0"/>
        <v>2020</v>
      </c>
      <c r="G2" s="6">
        <f t="shared" si="0"/>
        <v>2021</v>
      </c>
      <c r="H2" s="6">
        <f t="shared" si="0"/>
        <v>2022</v>
      </c>
      <c r="I2" s="6">
        <f t="shared" si="0"/>
        <v>2023</v>
      </c>
      <c r="J2" s="4"/>
    </row>
    <row r="3" ht="9" customHeight="1" thickBot="1">
      <c r="J3" s="4"/>
    </row>
    <row r="4" spans="2:10" ht="16.5" thickBot="1">
      <c r="B4" s="21" t="s">
        <v>85</v>
      </c>
      <c r="C4" s="136">
        <f>-'PROFIT &amp; LOSS TABLE'!C28</f>
        <v>348700</v>
      </c>
      <c r="D4" s="137">
        <f>-'PROFIT &amp; LOSS TABLE'!D28</f>
        <v>98570</v>
      </c>
      <c r="E4" s="137">
        <f>-'PROFIT &amp; LOSS TABLE'!E28</f>
        <v>-23572.99999999994</v>
      </c>
      <c r="F4" s="137">
        <f>-'PROFIT &amp; LOSS TABLE'!F28</f>
        <v>-147530.29999999993</v>
      </c>
      <c r="G4" s="137">
        <f>-'PROFIT &amp; LOSS TABLE'!G28</f>
        <v>-389083.32999999984</v>
      </c>
      <c r="H4" s="137">
        <f>-'PROFIT &amp; LOSS TABLE'!H28</f>
        <v>-525991.663</v>
      </c>
      <c r="I4" s="137">
        <f>-'PROFIT &amp; LOSS TABLE'!I28</f>
        <v>-383990.82929999987</v>
      </c>
      <c r="J4" s="138">
        <f aca="true" t="shared" si="1" ref="J4:J28">+SUM(C4:I4)</f>
        <v>-1022899.1222999995</v>
      </c>
    </row>
    <row r="5" spans="2:10" ht="15.75">
      <c r="B5" s="79" t="s">
        <v>18</v>
      </c>
      <c r="C5" s="46">
        <f>-VLOOKUP($B$5,'PROFIT &amp; LOSS TABLE'!$B$12:$J$37,2,0)</f>
        <v>-100000</v>
      </c>
      <c r="D5" s="46">
        <f>-VLOOKUP($B$5,'PROFIT &amp; LOSS TABLE'!$B$12:$J$37,3,0)</f>
        <v>-130000</v>
      </c>
      <c r="E5" s="46">
        <f>-VLOOKUP($B$5,'PROFIT &amp; LOSS TABLE'!$B$12:$J$37,4,0)</f>
        <v>-136000</v>
      </c>
      <c r="F5" s="46">
        <f>-VLOOKUP($B$5,'PROFIT &amp; LOSS TABLE'!$B$12:$J$37,5,0)</f>
        <v>-138000</v>
      </c>
      <c r="G5" s="46">
        <f>-VLOOKUP($B$5,'PROFIT &amp; LOSS TABLE'!$B$12:$J$37,6,0)</f>
        <v>-150000</v>
      </c>
      <c r="H5" s="46">
        <f>-VLOOKUP($B$5,'PROFIT &amp; LOSS TABLE'!$B$12:$J$37,7,0)</f>
        <v>-54000</v>
      </c>
      <c r="I5" s="46">
        <f>-VLOOKUP($B$5,'PROFIT &amp; LOSS TABLE'!$B$12:$J$37,8,0)</f>
        <v>-54000</v>
      </c>
      <c r="J5" s="139">
        <f t="shared" si="1"/>
        <v>-762000</v>
      </c>
    </row>
    <row r="6" spans="2:10" ht="15.75">
      <c r="B6" s="79" t="s">
        <v>109</v>
      </c>
      <c r="C6" s="168">
        <v>0</v>
      </c>
      <c r="D6" s="168">
        <v>0</v>
      </c>
      <c r="E6" s="168">
        <v>0</v>
      </c>
      <c r="F6" s="168">
        <v>0</v>
      </c>
      <c r="G6" s="168">
        <v>0</v>
      </c>
      <c r="H6" s="168">
        <v>0</v>
      </c>
      <c r="I6" s="168">
        <v>0</v>
      </c>
      <c r="J6" s="140">
        <f t="shared" si="1"/>
        <v>0</v>
      </c>
    </row>
    <row r="7" spans="2:10" ht="16.5" thickBot="1">
      <c r="B7" s="14" t="s">
        <v>82</v>
      </c>
      <c r="C7" s="168">
        <v>0</v>
      </c>
      <c r="D7" s="168">
        <v>0</v>
      </c>
      <c r="E7" s="168">
        <v>0</v>
      </c>
      <c r="F7" s="168">
        <v>0</v>
      </c>
      <c r="G7" s="168">
        <v>0</v>
      </c>
      <c r="H7" s="168">
        <v>0</v>
      </c>
      <c r="I7" s="168">
        <v>0</v>
      </c>
      <c r="J7" s="140">
        <f t="shared" si="1"/>
        <v>0</v>
      </c>
    </row>
    <row r="8" spans="2:10" ht="16.5" thickBot="1">
      <c r="B8" s="9" t="s">
        <v>70</v>
      </c>
      <c r="C8" s="141">
        <f aca="true" t="shared" si="2" ref="C8:I8">SUM(C4:C7)</f>
        <v>248700</v>
      </c>
      <c r="D8" s="142">
        <f t="shared" si="2"/>
        <v>-31430</v>
      </c>
      <c r="E8" s="142">
        <f t="shared" si="2"/>
        <v>-159572.99999999994</v>
      </c>
      <c r="F8" s="142">
        <f t="shared" si="2"/>
        <v>-285530.29999999993</v>
      </c>
      <c r="G8" s="142">
        <f t="shared" si="2"/>
        <v>-539083.3299999998</v>
      </c>
      <c r="H8" s="142">
        <f t="shared" si="2"/>
        <v>-579991.663</v>
      </c>
      <c r="I8" s="142">
        <f t="shared" si="2"/>
        <v>-437990.82929999987</v>
      </c>
      <c r="J8" s="138">
        <f t="shared" si="1"/>
        <v>-1784899.1222999995</v>
      </c>
    </row>
    <row r="9" spans="2:10" ht="15.75">
      <c r="B9" s="143" t="s">
        <v>74</v>
      </c>
      <c r="C9" s="169">
        <v>200000</v>
      </c>
      <c r="D9" s="169">
        <v>0</v>
      </c>
      <c r="E9" s="169">
        <v>0</v>
      </c>
      <c r="F9" s="169">
        <v>0</v>
      </c>
      <c r="G9" s="169">
        <v>0</v>
      </c>
      <c r="H9" s="169">
        <v>0</v>
      </c>
      <c r="I9" s="169">
        <v>0</v>
      </c>
      <c r="J9" s="139">
        <f t="shared" si="1"/>
        <v>200000</v>
      </c>
    </row>
    <row r="10" spans="2:10" ht="15.75">
      <c r="B10" s="144" t="s">
        <v>75</v>
      </c>
      <c r="C10" s="168">
        <v>100000</v>
      </c>
      <c r="D10" s="168">
        <v>100000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40">
        <f t="shared" si="1"/>
        <v>200000</v>
      </c>
    </row>
    <row r="11" spans="2:10" ht="15.75">
      <c r="B11" s="144" t="s">
        <v>76</v>
      </c>
      <c r="C11" s="168">
        <v>74800</v>
      </c>
      <c r="D11" s="168">
        <v>35000</v>
      </c>
      <c r="E11" s="168">
        <v>16000</v>
      </c>
      <c r="F11" s="168">
        <v>0</v>
      </c>
      <c r="G11" s="168">
        <v>20000</v>
      </c>
      <c r="H11" s="168">
        <v>0</v>
      </c>
      <c r="I11" s="168">
        <v>0</v>
      </c>
      <c r="J11" s="140">
        <f t="shared" si="1"/>
        <v>145800</v>
      </c>
    </row>
    <row r="12" spans="2:10" ht="15.75">
      <c r="B12" s="144" t="s">
        <v>77</v>
      </c>
      <c r="C12" s="168">
        <v>25000</v>
      </c>
      <c r="D12" s="168">
        <v>15000</v>
      </c>
      <c r="E12" s="168">
        <v>20000</v>
      </c>
      <c r="F12" s="168">
        <v>0</v>
      </c>
      <c r="G12" s="168">
        <v>30000</v>
      </c>
      <c r="H12" s="168">
        <v>0</v>
      </c>
      <c r="I12" s="168">
        <v>0</v>
      </c>
      <c r="J12" s="140">
        <f t="shared" si="1"/>
        <v>90000</v>
      </c>
    </row>
    <row r="13" spans="2:10" ht="15.75">
      <c r="B13" s="144" t="s">
        <v>78</v>
      </c>
      <c r="C13" s="168">
        <v>50000</v>
      </c>
      <c r="D13" s="168">
        <v>0</v>
      </c>
      <c r="E13" s="168">
        <v>0</v>
      </c>
      <c r="F13" s="168">
        <v>10000</v>
      </c>
      <c r="G13" s="168">
        <v>0</v>
      </c>
      <c r="H13" s="168">
        <v>18740</v>
      </c>
      <c r="I13" s="168">
        <v>0</v>
      </c>
      <c r="J13" s="140">
        <f t="shared" si="1"/>
        <v>78740</v>
      </c>
    </row>
    <row r="14" spans="2:10" ht="15.75">
      <c r="B14" s="144" t="s">
        <v>79</v>
      </c>
      <c r="C14" s="168">
        <v>17500</v>
      </c>
      <c r="D14" s="168">
        <v>0</v>
      </c>
      <c r="E14" s="168">
        <v>0</v>
      </c>
      <c r="F14" s="168">
        <v>0</v>
      </c>
      <c r="G14" s="168">
        <v>0</v>
      </c>
      <c r="H14" s="168">
        <v>0</v>
      </c>
      <c r="I14" s="168">
        <v>0</v>
      </c>
      <c r="J14" s="140">
        <f t="shared" si="1"/>
        <v>17500</v>
      </c>
    </row>
    <row r="15" spans="2:10" ht="15.75">
      <c r="B15" s="144" t="s">
        <v>80</v>
      </c>
      <c r="C15" s="168">
        <v>10000</v>
      </c>
      <c r="D15" s="168">
        <v>0</v>
      </c>
      <c r="E15" s="168">
        <v>0</v>
      </c>
      <c r="F15" s="168">
        <v>0</v>
      </c>
      <c r="G15" s="168">
        <v>0</v>
      </c>
      <c r="H15" s="168">
        <v>0</v>
      </c>
      <c r="I15" s="168">
        <v>0</v>
      </c>
      <c r="J15" s="140">
        <f t="shared" si="1"/>
        <v>10000</v>
      </c>
    </row>
    <row r="16" spans="2:10" ht="16.5" thickBot="1">
      <c r="B16" s="145" t="s">
        <v>81</v>
      </c>
      <c r="C16" s="170">
        <v>22700</v>
      </c>
      <c r="D16" s="170">
        <v>0</v>
      </c>
      <c r="E16" s="170">
        <v>0</v>
      </c>
      <c r="F16" s="170">
        <v>0</v>
      </c>
      <c r="G16" s="170">
        <v>0</v>
      </c>
      <c r="H16" s="170">
        <v>0</v>
      </c>
      <c r="I16" s="170">
        <v>0</v>
      </c>
      <c r="J16" s="146">
        <f t="shared" si="1"/>
        <v>22700</v>
      </c>
    </row>
    <row r="17" spans="2:10" ht="16.5" thickBot="1">
      <c r="B17" s="79" t="s">
        <v>110</v>
      </c>
      <c r="C17" s="171">
        <v>0</v>
      </c>
      <c r="D17" s="171">
        <v>0</v>
      </c>
      <c r="E17" s="171">
        <v>0</v>
      </c>
      <c r="F17" s="171">
        <v>0</v>
      </c>
      <c r="G17" s="171">
        <v>0</v>
      </c>
      <c r="H17" s="171">
        <v>0</v>
      </c>
      <c r="I17" s="171">
        <v>-10000</v>
      </c>
      <c r="J17" s="147">
        <f t="shared" si="1"/>
        <v>-10000</v>
      </c>
    </row>
    <row r="18" spans="2:10" ht="16.5" thickBot="1">
      <c r="B18" s="21" t="s">
        <v>71</v>
      </c>
      <c r="C18" s="136">
        <f aca="true" t="shared" si="3" ref="C18:I18">SUM(C8:C17)</f>
        <v>748700</v>
      </c>
      <c r="D18" s="137">
        <f t="shared" si="3"/>
        <v>118570</v>
      </c>
      <c r="E18" s="137">
        <f t="shared" si="3"/>
        <v>-123572.99999999994</v>
      </c>
      <c r="F18" s="137">
        <f t="shared" si="3"/>
        <v>-275530.29999999993</v>
      </c>
      <c r="G18" s="137">
        <f t="shared" si="3"/>
        <v>-489083.32999999984</v>
      </c>
      <c r="H18" s="137">
        <f t="shared" si="3"/>
        <v>-561251.663</v>
      </c>
      <c r="I18" s="137">
        <f t="shared" si="3"/>
        <v>-447990.82929999987</v>
      </c>
      <c r="J18" s="138">
        <f t="shared" si="1"/>
        <v>-1030159.1222999996</v>
      </c>
    </row>
    <row r="19" spans="2:10" ht="15.75">
      <c r="B19" s="148" t="s">
        <v>34</v>
      </c>
      <c r="C19" s="149">
        <f>VLOOKUP($B$19,'PROFIT &amp; LOSS TABLE'!$B$12:$J$37,2,0)</f>
        <v>15000</v>
      </c>
      <c r="D19" s="149">
        <f>VLOOKUP($B$19,'PROFIT &amp; LOSS TABLE'!$B$12:$J$37,3,0)</f>
        <v>15000</v>
      </c>
      <c r="E19" s="149">
        <f>VLOOKUP($B$19,'PROFIT &amp; LOSS TABLE'!$B$12:$J$37,4,0)</f>
        <v>15000</v>
      </c>
      <c r="F19" s="149">
        <f>VLOOKUP($B$19,'PROFIT &amp; LOSS TABLE'!$B$12:$J$37,5,0)</f>
        <v>22750</v>
      </c>
      <c r="G19" s="149">
        <f>VLOOKUP($B$19,'PROFIT &amp; LOSS TABLE'!$B$12:$J$37,6,0)</f>
        <v>15000</v>
      </c>
      <c r="H19" s="149">
        <f>VLOOKUP($B$19,'PROFIT &amp; LOSS TABLE'!$B$12:$J$37,7,0)</f>
        <v>15000</v>
      </c>
      <c r="I19" s="149">
        <f>VLOOKUP($B$19,'PROFIT &amp; LOSS TABLE'!$B$12:$J$37,8,0)</f>
        <v>15000</v>
      </c>
      <c r="J19" s="140">
        <f t="shared" si="1"/>
        <v>112750</v>
      </c>
    </row>
    <row r="20" spans="2:10" ht="15.75">
      <c r="B20" s="148" t="s">
        <v>20</v>
      </c>
      <c r="C20" s="149">
        <f>VLOOKUP($B$20,'PROFIT &amp; LOSS TABLE'!$B$12:$J$37,2,0)</f>
        <v>500</v>
      </c>
      <c r="D20" s="149">
        <f>VLOOKUP($B$20,'PROFIT &amp; LOSS TABLE'!$B$12:$J$37,3,0)</f>
        <v>510</v>
      </c>
      <c r="E20" s="149">
        <f>VLOOKUP($B$20,'PROFIT &amp; LOSS TABLE'!$B$12:$J$37,4,0)</f>
        <v>525</v>
      </c>
      <c r="F20" s="149">
        <f>VLOOKUP($B$20,'PROFIT &amp; LOSS TABLE'!$B$12:$J$37,5,0)</f>
        <v>600</v>
      </c>
      <c r="G20" s="149">
        <f>VLOOKUP($B$20,'PROFIT &amp; LOSS TABLE'!$B$12:$J$37,6,0)</f>
        <v>650</v>
      </c>
      <c r="H20" s="149">
        <f>VLOOKUP($B$20,'PROFIT &amp; LOSS TABLE'!$B$12:$J$37,7,0)</f>
        <v>800</v>
      </c>
      <c r="I20" s="149">
        <f>VLOOKUP($B$20,'PROFIT &amp; LOSS TABLE'!$B$12:$J$37,8,0)</f>
        <v>1000</v>
      </c>
      <c r="J20" s="140">
        <f t="shared" si="1"/>
        <v>4585</v>
      </c>
    </row>
    <row r="21" spans="2:10" ht="15.75">
      <c r="B21" s="14" t="s">
        <v>108</v>
      </c>
      <c r="C21" s="149">
        <f>VLOOKUP($B$21,'PROFIT &amp; LOSS TABLE'!$B$12:$J$37,2,0)</f>
        <v>-475</v>
      </c>
      <c r="D21" s="149">
        <f>VLOOKUP($B$21,'PROFIT &amp; LOSS TABLE'!$B$12:$J$37,3,0)</f>
        <v>-505</v>
      </c>
      <c r="E21" s="149">
        <f>VLOOKUP($B$21,'PROFIT &amp; LOSS TABLE'!$B$12:$J$37,4,0)</f>
        <v>-520</v>
      </c>
      <c r="F21" s="149">
        <f>VLOOKUP($B$21,'PROFIT &amp; LOSS TABLE'!$B$12:$J$37,5,0)</f>
        <v>-605</v>
      </c>
      <c r="G21" s="149">
        <f>VLOOKUP($B$21,'PROFIT &amp; LOSS TABLE'!$B$12:$J$37,6,0)</f>
        <v>-660</v>
      </c>
      <c r="H21" s="149">
        <f>VLOOKUP($B$21,'PROFIT &amp; LOSS TABLE'!$B$12:$J$37,7,0)</f>
        <v>-810</v>
      </c>
      <c r="I21" s="149">
        <f>VLOOKUP($B$21,'PROFIT &amp; LOSS TABLE'!$B$12:$J$37,8,0)</f>
        <v>-980</v>
      </c>
      <c r="J21" s="140">
        <f t="shared" si="1"/>
        <v>-4555</v>
      </c>
    </row>
    <row r="22" spans="2:10" ht="15.75">
      <c r="B22" s="14" t="s">
        <v>86</v>
      </c>
      <c r="C22" s="149">
        <f>VLOOKUP($B$22,'PROFIT &amp; LOSS TABLE'!$B$12:$J$37,2,0)</f>
        <v>30570.411003608686</v>
      </c>
      <c r="D22" s="149">
        <f>VLOOKUP($B$22,'PROFIT &amp; LOSS TABLE'!$B$12:$J$37,3,0)</f>
        <v>22599.36571729412</v>
      </c>
      <c r="E22" s="149">
        <f>VLOOKUP($B$22,'PROFIT &amp; LOSS TABLE'!$B$12:$J$37,4,0)</f>
        <v>15646.47809889758</v>
      </c>
      <c r="F22" s="149">
        <f>VLOOKUP($B$22,'PROFIT &amp; LOSS TABLE'!$B$12:$J$37,5,0)</f>
        <v>9820.567604597427</v>
      </c>
      <c r="G22" s="149">
        <f>VLOOKUP($B$22,'PROFIT &amp; LOSS TABLE'!$B$12:$J$37,6,0)</f>
        <v>5238.57139948074</v>
      </c>
      <c r="H22" s="149">
        <f>VLOOKUP($B$22,'PROFIT &amp; LOSS TABLE'!$B$12:$J$37,7,0)</f>
        <v>2026.0881847134742</v>
      </c>
      <c r="I22" s="149">
        <f>VLOOKUP($B$22,'PROFIT &amp; LOSS TABLE'!$B$12:$J$37,8,0)</f>
        <v>317.95690259183567</v>
      </c>
      <c r="J22" s="140">
        <f>+SUM(C22:I22)</f>
        <v>86219.43891118387</v>
      </c>
    </row>
    <row r="23" spans="2:10" ht="15.75">
      <c r="B23" s="14" t="s">
        <v>83</v>
      </c>
      <c r="C23" s="182">
        <f>+'LOAN COST CALCULATION'!H16</f>
        <v>182478.95298783385</v>
      </c>
      <c r="D23" s="182">
        <f>+'LOAN COST CALCULATION'!H28</f>
        <v>188029.22495953378</v>
      </c>
      <c r="E23" s="182">
        <f>+'LOAN COST CALCULATION'!H40</f>
        <v>193748.3137643831</v>
      </c>
      <c r="F23" s="182">
        <f>+'LOAN COST CALCULATION'!H52</f>
        <v>199641.35412790527</v>
      </c>
      <c r="G23" s="182">
        <f>+'LOAN COST CALCULATION'!H64</f>
        <v>205713.6369532139</v>
      </c>
      <c r="H23" s="182">
        <f>+'LOAN COST CALCULATION'!H76</f>
        <v>211970.61407130375</v>
      </c>
      <c r="I23" s="182">
        <f>+'LOAN COST CALCULATION'!H88</f>
        <v>218417.90313582623</v>
      </c>
      <c r="J23" s="140">
        <f t="shared" si="1"/>
        <v>1400000</v>
      </c>
    </row>
    <row r="24" spans="2:10" ht="15.75">
      <c r="B24" s="14" t="s">
        <v>111</v>
      </c>
      <c r="C24" s="172">
        <v>-30000</v>
      </c>
      <c r="D24" s="172">
        <v>0</v>
      </c>
      <c r="E24" s="172">
        <v>0</v>
      </c>
      <c r="F24" s="172">
        <v>0</v>
      </c>
      <c r="G24" s="172">
        <v>0</v>
      </c>
      <c r="H24" s="172">
        <v>0</v>
      </c>
      <c r="I24" s="172">
        <v>0</v>
      </c>
      <c r="J24" s="140">
        <f t="shared" si="1"/>
        <v>-30000</v>
      </c>
    </row>
    <row r="25" spans="2:10" ht="16.5" thickBot="1">
      <c r="B25" s="14" t="s">
        <v>112</v>
      </c>
      <c r="C25" s="149">
        <f>-'LOAN COST CALCULATION'!B1</f>
        <v>-1400000</v>
      </c>
      <c r="D25" s="149">
        <v>0</v>
      </c>
      <c r="E25" s="149">
        <v>0</v>
      </c>
      <c r="F25" s="149">
        <v>0</v>
      </c>
      <c r="G25" s="149">
        <v>0</v>
      </c>
      <c r="H25" s="149">
        <v>0</v>
      </c>
      <c r="I25" s="149">
        <v>0</v>
      </c>
      <c r="J25" s="140">
        <f t="shared" si="1"/>
        <v>-1400000</v>
      </c>
    </row>
    <row r="26" spans="2:10" ht="16.5" thickBot="1">
      <c r="B26" s="9" t="s">
        <v>72</v>
      </c>
      <c r="C26" s="136">
        <f>SUM(C18:C25)</f>
        <v>-453225.6360085574</v>
      </c>
      <c r="D26" s="137">
        <f aca="true" t="shared" si="4" ref="D26:I26">SUM(D18:D25)</f>
        <v>344203.59067682794</v>
      </c>
      <c r="E26" s="137">
        <f t="shared" si="4"/>
        <v>100826.79186328076</v>
      </c>
      <c r="F26" s="137">
        <f t="shared" si="4"/>
        <v>-43323.37826749723</v>
      </c>
      <c r="G26" s="137">
        <f t="shared" si="4"/>
        <v>-263141.1216473052</v>
      </c>
      <c r="H26" s="137">
        <f t="shared" si="4"/>
        <v>-332264.9607439827</v>
      </c>
      <c r="I26" s="137">
        <f t="shared" si="4"/>
        <v>-214234.96926158178</v>
      </c>
      <c r="J26" s="138">
        <f t="shared" si="1"/>
        <v>-861159.6833888156</v>
      </c>
    </row>
    <row r="27" spans="2:10" ht="16.5" thickBot="1">
      <c r="B27" s="150" t="s">
        <v>84</v>
      </c>
      <c r="C27" s="151">
        <f>IF('PROFIT &amp; LOSS TABLE'!C36&gt;0,'PROFIT &amp; LOSS TABLE'!C36-'PROFIT &amp; LOSS TABLE'!C39,0)</f>
        <v>0</v>
      </c>
      <c r="D27" s="151">
        <f>IF('PROFIT &amp; LOSS TABLE'!D36&gt;0,'PROFIT &amp; LOSS TABLE'!D36-'PROFIT &amp; LOSS TABLE'!D39,0)</f>
        <v>0</v>
      </c>
      <c r="E27" s="151">
        <f>IF('PROFIT &amp; LOSS TABLE'!E36&gt;0,'PROFIT &amp; LOSS TABLE'!E36-'PROFIT &amp; LOSS TABLE'!E39,0)</f>
        <v>0</v>
      </c>
      <c r="F27" s="151">
        <f>IF('PROFIT &amp; LOSS TABLE'!F36&gt;0,'PROFIT &amp; LOSS TABLE'!F36-'PROFIT &amp; LOSS TABLE'!F39,0)</f>
        <v>102379.25915586225</v>
      </c>
      <c r="G27" s="151">
        <f>IF('PROFIT &amp; LOSS TABLE'!G36&gt;0,'PROFIT &amp; LOSS TABLE'!G36-'PROFIT &amp; LOSS TABLE'!G39,0)</f>
        <v>330781.28274046717</v>
      </c>
      <c r="H27" s="151">
        <f>IF('PROFIT &amp; LOSS TABLE'!H36&gt;0,'PROFIT &amp; LOSS TABLE'!H36-'PROFIT &amp; LOSS TABLE'!H39,0)</f>
        <v>304428.56555641635</v>
      </c>
      <c r="I27" s="151">
        <f>IF('PROFIT &amp; LOSS TABLE'!I36&gt;0,'PROFIT &amp; LOSS TABLE'!I36-'PROFIT &amp; LOSS TABLE'!I39,0)</f>
        <v>220026.72422461674</v>
      </c>
      <c r="J27" s="140">
        <f t="shared" si="1"/>
        <v>957615.8316773626</v>
      </c>
    </row>
    <row r="28" spans="2:10" ht="16.5" thickBot="1">
      <c r="B28" s="9" t="s">
        <v>113</v>
      </c>
      <c r="C28" s="136">
        <f aca="true" t="shared" si="5" ref="C28:I28">SUM(C26:C27)</f>
        <v>-453225.6360085574</v>
      </c>
      <c r="D28" s="137">
        <f t="shared" si="5"/>
        <v>344203.59067682794</v>
      </c>
      <c r="E28" s="137">
        <f t="shared" si="5"/>
        <v>100826.79186328076</v>
      </c>
      <c r="F28" s="137">
        <f t="shared" si="5"/>
        <v>59055.88088836502</v>
      </c>
      <c r="G28" s="137">
        <f t="shared" si="5"/>
        <v>67640.16109316197</v>
      </c>
      <c r="H28" s="137">
        <f t="shared" si="5"/>
        <v>-27836.395187566348</v>
      </c>
      <c r="I28" s="137">
        <f t="shared" si="5"/>
        <v>5791.754963034968</v>
      </c>
      <c r="J28" s="152">
        <f t="shared" si="1"/>
        <v>96456.1482885469</v>
      </c>
    </row>
    <row r="29" spans="2:11" ht="16.5" thickBot="1">
      <c r="B29" s="21" t="s">
        <v>114</v>
      </c>
      <c r="C29" s="136">
        <f>C28</f>
        <v>-453225.6360085574</v>
      </c>
      <c r="D29" s="137">
        <f aca="true" t="shared" si="6" ref="D29:I29">+D28+C29</f>
        <v>-109022.04533172946</v>
      </c>
      <c r="E29" s="137">
        <f t="shared" si="6"/>
        <v>-8195.253468448704</v>
      </c>
      <c r="F29" s="137">
        <f t="shared" si="6"/>
        <v>50860.627419916316</v>
      </c>
      <c r="G29" s="137">
        <f t="shared" si="6"/>
        <v>118500.78851307828</v>
      </c>
      <c r="H29" s="137">
        <f t="shared" si="6"/>
        <v>90664.39332551193</v>
      </c>
      <c r="I29" s="137">
        <f t="shared" si="6"/>
        <v>96456.1482885469</v>
      </c>
      <c r="J29" s="4"/>
      <c r="K29" s="22"/>
    </row>
    <row r="30" spans="3:10" ht="15.75">
      <c r="C30" s="153"/>
      <c r="D30" s="153"/>
      <c r="E30" s="153"/>
      <c r="F30" s="153"/>
      <c r="G30" s="153"/>
      <c r="H30" s="153"/>
      <c r="I30" s="153"/>
      <c r="J30" s="4"/>
    </row>
    <row r="31" ht="15.75">
      <c r="C31" s="25"/>
    </row>
  </sheetData>
  <sheetProtection password="E9C9" sheet="1" objects="1" scenarios="1" selectLockedCells="1"/>
  <mergeCells count="1">
    <mergeCell ref="C1:I1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52"/>
  <headerFooter alignWithMargins="0">
    <oddHeader>&amp;C&amp;"Arial,Gras"&amp;F \&amp;A</oddHeader>
    <oddFooter>&amp;L(c) Batsela H.G llp
2015&amp;R&amp;D 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zoomScalePageLayoutView="0" workbookViewId="0" topLeftCell="A70">
      <pane xSplit="2" topLeftCell="C1" activePane="topRight" state="frozen"/>
      <selection pane="topLeft" activeCell="C16" sqref="C16"/>
      <selection pane="topRight" activeCell="C42" sqref="C42"/>
    </sheetView>
  </sheetViews>
  <sheetFormatPr defaultColWidth="9.140625" defaultRowHeight="12.75" outlineLevelRow="1" outlineLevelCol="1"/>
  <cols>
    <col min="1" max="1" width="2.7109375" style="2" customWidth="1"/>
    <col min="2" max="2" width="61.7109375" style="3" bestFit="1" customWidth="1"/>
    <col min="3" max="3" width="20.7109375" style="3" customWidth="1" outlineLevel="1"/>
    <col min="4" max="7" width="21.421875" style="3" customWidth="1" outlineLevel="1"/>
    <col min="8" max="8" width="21.00390625" style="3" customWidth="1" outlineLevel="1"/>
    <col min="9" max="9" width="21.421875" style="3" bestFit="1" customWidth="1" outlineLevel="1"/>
    <col min="10" max="10" width="26.28125" style="3" bestFit="1" customWidth="1"/>
    <col min="11" max="11" width="11.8515625" style="5" customWidth="1"/>
    <col min="12" max="12" width="25.7109375" style="5" bestFit="1" customWidth="1"/>
    <col min="13" max="16384" width="9.140625" style="5" customWidth="1"/>
  </cols>
  <sheetData>
    <row r="1" spans="3:10" ht="16.5" thickBot="1">
      <c r="C1" s="1" t="s">
        <v>69</v>
      </c>
      <c r="D1" s="1"/>
      <c r="E1" s="1"/>
      <c r="F1" s="1"/>
      <c r="G1" s="1"/>
      <c r="H1" s="1"/>
      <c r="I1" s="1"/>
      <c r="J1" s="4"/>
    </row>
    <row r="2" spans="2:10" ht="16.5" thickBot="1">
      <c r="B2" s="155" t="s">
        <v>107</v>
      </c>
      <c r="C2" s="156">
        <v>2017</v>
      </c>
      <c r="D2" s="6">
        <f aca="true" t="shared" si="0" ref="D2:I2">+C2+1</f>
        <v>2018</v>
      </c>
      <c r="E2" s="6">
        <f t="shared" si="0"/>
        <v>2019</v>
      </c>
      <c r="F2" s="6">
        <f t="shared" si="0"/>
        <v>2020</v>
      </c>
      <c r="G2" s="6">
        <f t="shared" si="0"/>
        <v>2021</v>
      </c>
      <c r="H2" s="6">
        <f t="shared" si="0"/>
        <v>2022</v>
      </c>
      <c r="I2" s="6">
        <f t="shared" si="0"/>
        <v>2023</v>
      </c>
      <c r="J2" s="4"/>
    </row>
    <row r="3" ht="16.5" thickBot="1">
      <c r="J3" s="4"/>
    </row>
    <row r="4" spans="2:10" ht="16.5" thickBot="1">
      <c r="B4" s="48" t="s">
        <v>6</v>
      </c>
      <c r="C4" s="49" t="s">
        <v>92</v>
      </c>
      <c r="D4" s="49">
        <f aca="true" t="shared" si="1" ref="D4:I4">(D12/C12)-1</f>
        <v>0.6666666666666667</v>
      </c>
      <c r="E4" s="49">
        <f t="shared" si="1"/>
        <v>0.30000000000000004</v>
      </c>
      <c r="F4" s="49">
        <f t="shared" si="1"/>
        <v>0.3076923076923077</v>
      </c>
      <c r="G4" s="49">
        <f t="shared" si="1"/>
        <v>0.23529411764705888</v>
      </c>
      <c r="H4" s="49">
        <f t="shared" si="1"/>
        <v>0.1428571428571428</v>
      </c>
      <c r="I4" s="50">
        <f t="shared" si="1"/>
        <v>0.11250000000000004</v>
      </c>
      <c r="J4" s="4"/>
    </row>
    <row r="5" spans="2:10" ht="16.5" thickBot="1">
      <c r="B5" s="133" t="s">
        <v>106</v>
      </c>
      <c r="C5" s="134">
        <f>+SUM('CASH FLOWS TABLE'!C9:C16)</f>
        <v>500000</v>
      </c>
      <c r="D5" s="134">
        <f>+SUM('CASH FLOWS TABLE'!D9:D16)</f>
        <v>150000</v>
      </c>
      <c r="E5" s="134">
        <f>+SUM('CASH FLOWS TABLE'!E9:E16)</f>
        <v>36000</v>
      </c>
      <c r="F5" s="134">
        <f>+SUM('CASH FLOWS TABLE'!F9:F16)</f>
        <v>10000</v>
      </c>
      <c r="G5" s="134">
        <f>+SUM('CASH FLOWS TABLE'!G9:G16)</f>
        <v>50000</v>
      </c>
      <c r="H5" s="134">
        <f>+SUM('CASH FLOWS TABLE'!H9:H16)</f>
        <v>18740</v>
      </c>
      <c r="I5" s="135">
        <f>+SUM('CASH FLOWS TABLE'!I9:I16)</f>
        <v>0</v>
      </c>
      <c r="J5" s="132">
        <f>+SUM(C5:I5)</f>
        <v>764740</v>
      </c>
    </row>
    <row r="6" spans="3:10" ht="17.25" customHeight="1" thickBot="1">
      <c r="C6" s="8"/>
      <c r="D6" s="8"/>
      <c r="E6" s="8"/>
      <c r="F6" s="8"/>
      <c r="G6" s="8"/>
      <c r="H6" s="8"/>
      <c r="I6" s="8"/>
      <c r="J6" s="7"/>
    </row>
    <row r="7" spans="3:10" ht="17.25" customHeight="1" thickBot="1">
      <c r="C7" s="8"/>
      <c r="D7" s="8"/>
      <c r="E7" s="8"/>
      <c r="F7" s="8"/>
      <c r="G7" s="8"/>
      <c r="H7" s="8"/>
      <c r="I7" s="8"/>
      <c r="J7" s="131" t="s">
        <v>7</v>
      </c>
    </row>
    <row r="8" spans="2:10" ht="17.25" customHeight="1">
      <c r="B8" s="157" t="s">
        <v>100</v>
      </c>
      <c r="C8" s="158">
        <v>500000</v>
      </c>
      <c r="D8" s="158">
        <v>575000</v>
      </c>
      <c r="E8" s="158">
        <v>650000</v>
      </c>
      <c r="F8" s="158">
        <v>680000</v>
      </c>
      <c r="G8" s="158">
        <v>800000</v>
      </c>
      <c r="H8" s="158">
        <v>1000000</v>
      </c>
      <c r="I8" s="159">
        <v>1195000</v>
      </c>
      <c r="J8" s="15">
        <f aca="true" t="shared" si="2" ref="J8:J36">+SUM(C8:I8)</f>
        <v>5400000</v>
      </c>
    </row>
    <row r="9" spans="2:10" ht="17.25" customHeight="1">
      <c r="B9" s="160" t="s">
        <v>101</v>
      </c>
      <c r="C9" s="161">
        <v>100000</v>
      </c>
      <c r="D9" s="161">
        <v>125000</v>
      </c>
      <c r="E9" s="161">
        <v>150000</v>
      </c>
      <c r="F9" s="161">
        <v>112500</v>
      </c>
      <c r="G9" s="161">
        <v>200000</v>
      </c>
      <c r="H9" s="161">
        <v>250000</v>
      </c>
      <c r="I9" s="162">
        <v>275000</v>
      </c>
      <c r="J9" s="15">
        <f t="shared" si="2"/>
        <v>1212500</v>
      </c>
    </row>
    <row r="10" spans="2:10" ht="17.25" customHeight="1">
      <c r="B10" s="163" t="s">
        <v>102</v>
      </c>
      <c r="C10" s="161"/>
      <c r="D10" s="161">
        <v>300000</v>
      </c>
      <c r="E10" s="161">
        <v>375000</v>
      </c>
      <c r="F10" s="161">
        <v>340000</v>
      </c>
      <c r="G10" s="161">
        <v>450000</v>
      </c>
      <c r="H10" s="161">
        <v>475000</v>
      </c>
      <c r="I10" s="162">
        <v>500000</v>
      </c>
      <c r="J10" s="15">
        <f t="shared" si="2"/>
        <v>2440000</v>
      </c>
    </row>
    <row r="11" spans="2:10" ht="17.25" customHeight="1" thickBot="1">
      <c r="B11" s="163" t="s">
        <v>103</v>
      </c>
      <c r="C11" s="164"/>
      <c r="D11" s="164"/>
      <c r="E11" s="164">
        <v>125000</v>
      </c>
      <c r="F11" s="164">
        <v>567500</v>
      </c>
      <c r="G11" s="164">
        <v>650000</v>
      </c>
      <c r="H11" s="164">
        <v>675000</v>
      </c>
      <c r="I11" s="165">
        <v>700000</v>
      </c>
      <c r="J11" s="15">
        <f t="shared" si="2"/>
        <v>2717500</v>
      </c>
    </row>
    <row r="12" spans="2:10" ht="16.5" thickBot="1">
      <c r="B12" s="9" t="s">
        <v>8</v>
      </c>
      <c r="C12" s="10">
        <f>+SUM(C8:C11)</f>
        <v>600000</v>
      </c>
      <c r="D12" s="10">
        <f aca="true" t="shared" si="3" ref="D12:I12">+SUM(D8:D11)</f>
        <v>1000000</v>
      </c>
      <c r="E12" s="10">
        <f t="shared" si="3"/>
        <v>1300000</v>
      </c>
      <c r="F12" s="10">
        <f t="shared" si="3"/>
        <v>1700000</v>
      </c>
      <c r="G12" s="10">
        <f t="shared" si="3"/>
        <v>2100000</v>
      </c>
      <c r="H12" s="10">
        <f t="shared" si="3"/>
        <v>2400000</v>
      </c>
      <c r="I12" s="10">
        <f t="shared" si="3"/>
        <v>2670000</v>
      </c>
      <c r="J12" s="13">
        <f t="shared" si="2"/>
        <v>11770000</v>
      </c>
    </row>
    <row r="13" spans="2:10" ht="15.75">
      <c r="B13" s="14" t="s">
        <v>9</v>
      </c>
      <c r="C13" s="161"/>
      <c r="D13" s="161"/>
      <c r="E13" s="161"/>
      <c r="F13" s="161"/>
      <c r="G13" s="161"/>
      <c r="H13" s="161"/>
      <c r="I13" s="161"/>
      <c r="J13" s="15">
        <f t="shared" si="2"/>
        <v>0</v>
      </c>
    </row>
    <row r="14" spans="2:10" ht="15.75">
      <c r="B14" s="14" t="s">
        <v>10</v>
      </c>
      <c r="C14" s="161">
        <v>450000</v>
      </c>
      <c r="D14" s="161">
        <v>500000</v>
      </c>
      <c r="E14" s="161">
        <v>600000</v>
      </c>
      <c r="F14" s="161">
        <v>750000</v>
      </c>
      <c r="G14" s="161">
        <v>800000</v>
      </c>
      <c r="H14" s="161">
        <v>1000000</v>
      </c>
      <c r="I14" s="161">
        <v>1350000</v>
      </c>
      <c r="J14" s="15">
        <f t="shared" si="2"/>
        <v>5450000</v>
      </c>
    </row>
    <row r="15" spans="2:10" ht="15.75">
      <c r="B15" s="14" t="s">
        <v>11</v>
      </c>
      <c r="C15" s="161"/>
      <c r="D15" s="161"/>
      <c r="E15" s="161"/>
      <c r="F15" s="161"/>
      <c r="G15" s="161"/>
      <c r="H15" s="161"/>
      <c r="I15" s="161"/>
      <c r="J15" s="15">
        <f t="shared" si="2"/>
        <v>0</v>
      </c>
    </row>
    <row r="16" spans="2:10" ht="15.75">
      <c r="B16" s="14" t="s">
        <v>12</v>
      </c>
      <c r="C16" s="161"/>
      <c r="D16" s="161"/>
      <c r="E16" s="161"/>
      <c r="F16" s="161"/>
      <c r="G16" s="161"/>
      <c r="H16" s="161"/>
      <c r="I16" s="161"/>
      <c r="J16" s="15">
        <f t="shared" si="2"/>
        <v>0</v>
      </c>
    </row>
    <row r="17" spans="2:10" ht="16.5" thickBot="1">
      <c r="B17" s="14" t="s">
        <v>13</v>
      </c>
      <c r="C17" s="161"/>
      <c r="D17" s="161"/>
      <c r="E17" s="161"/>
      <c r="F17" s="161"/>
      <c r="G17" s="161"/>
      <c r="H17" s="161"/>
      <c r="I17" s="161"/>
      <c r="J17" s="15">
        <f t="shared" si="2"/>
        <v>0</v>
      </c>
    </row>
    <row r="18" spans="2:10" ht="16.5" thickBot="1">
      <c r="B18" s="9" t="s">
        <v>14</v>
      </c>
      <c r="C18" s="10">
        <f aca="true" t="shared" si="4" ref="C18:I18">+C12-SUM(C13:C17)</f>
        <v>150000</v>
      </c>
      <c r="D18" s="10">
        <f t="shared" si="4"/>
        <v>500000</v>
      </c>
      <c r="E18" s="10">
        <f t="shared" si="4"/>
        <v>700000</v>
      </c>
      <c r="F18" s="10">
        <f t="shared" si="4"/>
        <v>950000</v>
      </c>
      <c r="G18" s="10">
        <f t="shared" si="4"/>
        <v>1300000</v>
      </c>
      <c r="H18" s="10">
        <f t="shared" si="4"/>
        <v>1400000</v>
      </c>
      <c r="I18" s="10">
        <f t="shared" si="4"/>
        <v>1320000</v>
      </c>
      <c r="J18" s="13">
        <f t="shared" si="2"/>
        <v>6320000</v>
      </c>
    </row>
    <row r="19" spans="2:10" ht="15.75">
      <c r="B19" s="14" t="s">
        <v>15</v>
      </c>
      <c r="C19" s="161">
        <v>50000</v>
      </c>
      <c r="D19" s="161">
        <v>55000.00000000001</v>
      </c>
      <c r="E19" s="161">
        <v>60500.000000000015</v>
      </c>
      <c r="F19" s="161">
        <v>66550.00000000001</v>
      </c>
      <c r="G19" s="161">
        <v>73205.00000000003</v>
      </c>
      <c r="H19" s="161">
        <v>80525.50000000004</v>
      </c>
      <c r="I19" s="161">
        <v>88578.05000000006</v>
      </c>
      <c r="J19" s="15">
        <f t="shared" si="2"/>
        <v>474358.5500000001</v>
      </c>
    </row>
    <row r="20" spans="2:10" ht="15.75">
      <c r="B20" s="14" t="s">
        <v>87</v>
      </c>
      <c r="C20" s="161">
        <v>15000</v>
      </c>
      <c r="D20" s="161">
        <v>16500</v>
      </c>
      <c r="E20" s="161">
        <v>18150</v>
      </c>
      <c r="F20" s="161">
        <v>19965</v>
      </c>
      <c r="G20" s="161">
        <v>21961.5</v>
      </c>
      <c r="H20" s="161">
        <v>24157.65</v>
      </c>
      <c r="I20" s="161">
        <v>26573.415000000005</v>
      </c>
      <c r="J20" s="15">
        <f t="shared" si="2"/>
        <v>142307.565</v>
      </c>
    </row>
    <row r="21" spans="2:10" ht="15.75">
      <c r="B21" s="14" t="s">
        <v>88</v>
      </c>
      <c r="C21" s="161">
        <v>24800</v>
      </c>
      <c r="D21" s="161">
        <v>27280.000000000004</v>
      </c>
      <c r="E21" s="161">
        <v>30008.000000000007</v>
      </c>
      <c r="F21" s="161">
        <v>33008.80000000001</v>
      </c>
      <c r="G21" s="161">
        <v>36309.680000000015</v>
      </c>
      <c r="H21" s="161">
        <v>39940.64800000002</v>
      </c>
      <c r="I21" s="161">
        <v>43934.71280000003</v>
      </c>
      <c r="J21" s="15">
        <f t="shared" si="2"/>
        <v>235281.8408000001</v>
      </c>
    </row>
    <row r="22" spans="2:10" ht="15.75">
      <c r="B22" s="14" t="s">
        <v>89</v>
      </c>
      <c r="C22" s="161">
        <v>60000</v>
      </c>
      <c r="D22" s="161">
        <v>66000</v>
      </c>
      <c r="E22" s="161">
        <v>72600</v>
      </c>
      <c r="F22" s="161">
        <v>79860</v>
      </c>
      <c r="G22" s="161">
        <v>87846</v>
      </c>
      <c r="H22" s="161">
        <v>96630.6</v>
      </c>
      <c r="I22" s="161">
        <v>106293.66000000002</v>
      </c>
      <c r="J22" s="15">
        <f t="shared" si="2"/>
        <v>569230.26</v>
      </c>
    </row>
    <row r="23" spans="2:10" ht="16.5" thickBot="1">
      <c r="B23" s="14" t="s">
        <v>90</v>
      </c>
      <c r="C23" s="161">
        <v>48900</v>
      </c>
      <c r="D23" s="161">
        <v>53790.00000000001</v>
      </c>
      <c r="E23" s="161">
        <v>59169.000000000015</v>
      </c>
      <c r="F23" s="161">
        <v>65085.90000000002</v>
      </c>
      <c r="G23" s="161">
        <v>71594.49000000003</v>
      </c>
      <c r="H23" s="161">
        <v>78753.93900000004</v>
      </c>
      <c r="I23" s="161">
        <v>86629.33290000005</v>
      </c>
      <c r="J23" s="15">
        <f t="shared" si="2"/>
        <v>463922.6619000002</v>
      </c>
    </row>
    <row r="24" spans="2:10" ht="16.5" thickBot="1">
      <c r="B24" s="9" t="s">
        <v>16</v>
      </c>
      <c r="C24" s="10">
        <f aca="true" t="shared" si="5" ref="C24:I24">C18-SUM(C19:C23)</f>
        <v>-48700</v>
      </c>
      <c r="D24" s="10">
        <f t="shared" si="5"/>
        <v>281430</v>
      </c>
      <c r="E24" s="10">
        <f t="shared" si="5"/>
        <v>459572.99999999994</v>
      </c>
      <c r="F24" s="10">
        <f t="shared" si="5"/>
        <v>685530.2999999999</v>
      </c>
      <c r="G24" s="10">
        <f t="shared" si="5"/>
        <v>1009083.3299999998</v>
      </c>
      <c r="H24" s="10">
        <f t="shared" si="5"/>
        <v>1079991.663</v>
      </c>
      <c r="I24" s="10">
        <f t="shared" si="5"/>
        <v>967990.8292999999</v>
      </c>
      <c r="J24" s="13">
        <f t="shared" si="2"/>
        <v>4434899.122299999</v>
      </c>
    </row>
    <row r="25" spans="2:10" ht="16.5" thickBot="1">
      <c r="B25" s="14" t="s">
        <v>91</v>
      </c>
      <c r="C25" s="161">
        <v>200000</v>
      </c>
      <c r="D25" s="161">
        <v>250000</v>
      </c>
      <c r="E25" s="161">
        <v>300000</v>
      </c>
      <c r="F25" s="161">
        <v>400000</v>
      </c>
      <c r="G25" s="161">
        <v>470000</v>
      </c>
      <c r="H25" s="161">
        <v>500000</v>
      </c>
      <c r="I25" s="161">
        <v>530000</v>
      </c>
      <c r="J25" s="15">
        <f t="shared" si="2"/>
        <v>2650000</v>
      </c>
    </row>
    <row r="26" spans="2:10" ht="16.5" thickBot="1">
      <c r="B26" s="9" t="s">
        <v>17</v>
      </c>
      <c r="C26" s="10">
        <f aca="true" t="shared" si="6" ref="C26:I26">C24-C25</f>
        <v>-248700</v>
      </c>
      <c r="D26" s="10">
        <f t="shared" si="6"/>
        <v>31430</v>
      </c>
      <c r="E26" s="10">
        <f t="shared" si="6"/>
        <v>159572.99999999994</v>
      </c>
      <c r="F26" s="10">
        <f t="shared" si="6"/>
        <v>285530.29999999993</v>
      </c>
      <c r="G26" s="10">
        <f t="shared" si="6"/>
        <v>539083.3299999998</v>
      </c>
      <c r="H26" s="10">
        <f t="shared" si="6"/>
        <v>579991.663</v>
      </c>
      <c r="I26" s="10">
        <f t="shared" si="6"/>
        <v>437990.82929999987</v>
      </c>
      <c r="J26" s="13">
        <f t="shared" si="2"/>
        <v>1784899.1222999995</v>
      </c>
    </row>
    <row r="27" spans="2:10" ht="16.5" thickBot="1">
      <c r="B27" s="11" t="s">
        <v>18</v>
      </c>
      <c r="C27" s="161">
        <v>100000</v>
      </c>
      <c r="D27" s="161">
        <v>130000</v>
      </c>
      <c r="E27" s="161">
        <v>136000</v>
      </c>
      <c r="F27" s="161">
        <v>138000</v>
      </c>
      <c r="G27" s="161">
        <v>150000</v>
      </c>
      <c r="H27" s="161">
        <v>54000</v>
      </c>
      <c r="I27" s="161">
        <v>54000</v>
      </c>
      <c r="J27" s="15">
        <f t="shared" si="2"/>
        <v>762000</v>
      </c>
    </row>
    <row r="28" spans="2:10" ht="16.5" thickBot="1">
      <c r="B28" s="9" t="s">
        <v>19</v>
      </c>
      <c r="C28" s="10">
        <f aca="true" t="shared" si="7" ref="C28:I28">C26-C27</f>
        <v>-348700</v>
      </c>
      <c r="D28" s="10">
        <f t="shared" si="7"/>
        <v>-98570</v>
      </c>
      <c r="E28" s="10">
        <f t="shared" si="7"/>
        <v>23572.99999999994</v>
      </c>
      <c r="F28" s="10">
        <f t="shared" si="7"/>
        <v>147530.29999999993</v>
      </c>
      <c r="G28" s="10">
        <f t="shared" si="7"/>
        <v>389083.32999999984</v>
      </c>
      <c r="H28" s="10">
        <f t="shared" si="7"/>
        <v>525991.663</v>
      </c>
      <c r="I28" s="10">
        <f t="shared" si="7"/>
        <v>383990.82929999987</v>
      </c>
      <c r="J28" s="13">
        <f t="shared" si="2"/>
        <v>1022899.1222999995</v>
      </c>
    </row>
    <row r="29" spans="2:10" ht="15.75">
      <c r="B29" s="14" t="s">
        <v>20</v>
      </c>
      <c r="C29" s="161">
        <v>500</v>
      </c>
      <c r="D29" s="161">
        <v>510</v>
      </c>
      <c r="E29" s="161">
        <v>525</v>
      </c>
      <c r="F29" s="161">
        <v>600</v>
      </c>
      <c r="G29" s="161">
        <v>650</v>
      </c>
      <c r="H29" s="161">
        <v>800</v>
      </c>
      <c r="I29" s="161">
        <v>1000</v>
      </c>
      <c r="J29" s="15">
        <f t="shared" si="2"/>
        <v>4585</v>
      </c>
    </row>
    <row r="30" spans="2:10" ht="15.75">
      <c r="B30" s="14" t="s">
        <v>86</v>
      </c>
      <c r="C30" s="161">
        <v>30570.411003608686</v>
      </c>
      <c r="D30" s="161">
        <v>22599.36571729412</v>
      </c>
      <c r="E30" s="161">
        <v>15646.47809889758</v>
      </c>
      <c r="F30" s="161">
        <v>9820.567604597427</v>
      </c>
      <c r="G30" s="161">
        <v>5238.57139948074</v>
      </c>
      <c r="H30" s="161">
        <v>2026.0881847134742</v>
      </c>
      <c r="I30" s="161">
        <v>317.95690259183567</v>
      </c>
      <c r="J30" s="15">
        <f t="shared" si="2"/>
        <v>86219.43891118387</v>
      </c>
    </row>
    <row r="31" spans="2:10" ht="16.5" thickBot="1">
      <c r="B31" s="14" t="s">
        <v>21</v>
      </c>
      <c r="C31" s="161">
        <v>-475</v>
      </c>
      <c r="D31" s="161">
        <v>-505</v>
      </c>
      <c r="E31" s="161">
        <v>-520</v>
      </c>
      <c r="F31" s="161">
        <v>-605</v>
      </c>
      <c r="G31" s="161">
        <v>-660</v>
      </c>
      <c r="H31" s="161">
        <v>-810</v>
      </c>
      <c r="I31" s="161">
        <v>-980</v>
      </c>
      <c r="J31" s="15">
        <f t="shared" si="2"/>
        <v>-4555</v>
      </c>
    </row>
    <row r="32" spans="2:10" ht="16.5" thickBot="1">
      <c r="B32" s="9" t="s">
        <v>33</v>
      </c>
      <c r="C32" s="10">
        <f>+C28-C29-C30+C31</f>
        <v>-380245.41100360866</v>
      </c>
      <c r="D32" s="10">
        <f aca="true" t="shared" si="8" ref="D32:I32">+D28-D29-D30+D31</f>
        <v>-122184.36571729412</v>
      </c>
      <c r="E32" s="10">
        <f t="shared" si="8"/>
        <v>6881.521901102362</v>
      </c>
      <c r="F32" s="10">
        <f t="shared" si="8"/>
        <v>136504.7323954025</v>
      </c>
      <c r="G32" s="10">
        <f t="shared" si="8"/>
        <v>382534.7586005191</v>
      </c>
      <c r="H32" s="10">
        <f t="shared" si="8"/>
        <v>522355.57481528644</v>
      </c>
      <c r="I32" s="10">
        <f t="shared" si="8"/>
        <v>381692.872397408</v>
      </c>
      <c r="J32" s="13">
        <f t="shared" si="2"/>
        <v>927539.6833888156</v>
      </c>
    </row>
    <row r="33" spans="2:10" ht="16.5" thickBot="1">
      <c r="B33" s="11" t="s">
        <v>34</v>
      </c>
      <c r="C33" s="161">
        <v>15000</v>
      </c>
      <c r="D33" s="161">
        <v>15000</v>
      </c>
      <c r="E33" s="161">
        <v>15000</v>
      </c>
      <c r="F33" s="161">
        <v>22750</v>
      </c>
      <c r="G33" s="161">
        <v>15000</v>
      </c>
      <c r="H33" s="161">
        <v>15000</v>
      </c>
      <c r="I33" s="161">
        <v>15000</v>
      </c>
      <c r="J33" s="15">
        <f t="shared" si="2"/>
        <v>112750</v>
      </c>
    </row>
    <row r="34" spans="2:10" ht="16.5" thickBot="1">
      <c r="B34" s="9" t="s">
        <v>35</v>
      </c>
      <c r="C34" s="10">
        <f aca="true" t="shared" si="9" ref="C34:I34">C32-C33</f>
        <v>-395245.41100360866</v>
      </c>
      <c r="D34" s="10">
        <f t="shared" si="9"/>
        <v>-137184.3657172941</v>
      </c>
      <c r="E34" s="10">
        <f t="shared" si="9"/>
        <v>-8118.478098897638</v>
      </c>
      <c r="F34" s="10">
        <f t="shared" si="9"/>
        <v>113754.7323954025</v>
      </c>
      <c r="G34" s="10">
        <f t="shared" si="9"/>
        <v>367534.7586005191</v>
      </c>
      <c r="H34" s="10">
        <f t="shared" si="9"/>
        <v>507355.57481528644</v>
      </c>
      <c r="I34" s="10">
        <f t="shared" si="9"/>
        <v>366692.872397408</v>
      </c>
      <c r="J34" s="16">
        <f t="shared" si="2"/>
        <v>814789.6833888157</v>
      </c>
    </row>
    <row r="35" spans="2:13" ht="16.5" thickBot="1">
      <c r="B35" s="11" t="s">
        <v>36</v>
      </c>
      <c r="C35" s="17">
        <f>IF(C34&lt;0,0,C34*$L$36)</f>
        <v>0</v>
      </c>
      <c r="D35" s="17">
        <f aca="true" t="shared" si="10" ref="D35:I35">IF(D34&lt;0,0,IF(C37+D34&lt;0,0,D34*$L$36))</f>
        <v>0</v>
      </c>
      <c r="E35" s="17">
        <f t="shared" si="10"/>
        <v>0</v>
      </c>
      <c r="F35" s="17">
        <f t="shared" si="10"/>
        <v>0</v>
      </c>
      <c r="G35" s="17">
        <f t="shared" si="10"/>
        <v>0</v>
      </c>
      <c r="H35" s="17">
        <f t="shared" si="10"/>
        <v>169101.61308593495</v>
      </c>
      <c r="I35" s="17">
        <f t="shared" si="10"/>
        <v>122218.73437005609</v>
      </c>
      <c r="J35" s="18">
        <f t="shared" si="2"/>
        <v>291320.347455991</v>
      </c>
      <c r="L35" s="185" t="s">
        <v>37</v>
      </c>
      <c r="M35" s="186"/>
    </row>
    <row r="36" spans="2:13" ht="16.5" thickBot="1">
      <c r="B36" s="9" t="s">
        <v>38</v>
      </c>
      <c r="C36" s="10">
        <f aca="true" t="shared" si="11" ref="C36:I36">+C34-C35</f>
        <v>-395245.41100360866</v>
      </c>
      <c r="D36" s="10">
        <f t="shared" si="11"/>
        <v>-137184.3657172941</v>
      </c>
      <c r="E36" s="10">
        <f t="shared" si="11"/>
        <v>-8118.478098897638</v>
      </c>
      <c r="F36" s="10">
        <f t="shared" si="11"/>
        <v>113754.7323954025</v>
      </c>
      <c r="G36" s="10">
        <f t="shared" si="11"/>
        <v>367534.7586005191</v>
      </c>
      <c r="H36" s="10">
        <f t="shared" si="11"/>
        <v>338253.9617293515</v>
      </c>
      <c r="I36" s="10">
        <f t="shared" si="11"/>
        <v>244474.13802735193</v>
      </c>
      <c r="J36" s="19">
        <f t="shared" si="2"/>
        <v>523469.33593282464</v>
      </c>
      <c r="L36" s="167">
        <v>0.3333</v>
      </c>
      <c r="M36" s="20"/>
    </row>
    <row r="37" spans="2:11" ht="16.5" thickBot="1">
      <c r="B37" s="21" t="s">
        <v>39</v>
      </c>
      <c r="C37" s="10">
        <f>C36</f>
        <v>-395245.41100360866</v>
      </c>
      <c r="D37" s="10">
        <f aca="true" t="shared" si="12" ref="D37:I37">+D36+C37</f>
        <v>-532429.7767209028</v>
      </c>
      <c r="E37" s="10">
        <f t="shared" si="12"/>
        <v>-540548.2548198004</v>
      </c>
      <c r="F37" s="10">
        <f t="shared" si="12"/>
        <v>-426793.5224243979</v>
      </c>
      <c r="G37" s="10">
        <f t="shared" si="12"/>
        <v>-59258.76382387878</v>
      </c>
      <c r="H37" s="10">
        <f t="shared" si="12"/>
        <v>278995.1979054727</v>
      </c>
      <c r="I37" s="10">
        <f t="shared" si="12"/>
        <v>523469.33593282464</v>
      </c>
      <c r="J37" s="7"/>
      <c r="K37" s="22"/>
    </row>
    <row r="38" spans="3:10" ht="16.5" thickBot="1">
      <c r="C38" s="23"/>
      <c r="D38" s="23"/>
      <c r="E38" s="23"/>
      <c r="F38" s="23"/>
      <c r="G38" s="23"/>
      <c r="H38" s="23"/>
      <c r="I38" s="23"/>
      <c r="J38" s="7"/>
    </row>
    <row r="39" spans="2:10" ht="16.5" thickBot="1">
      <c r="B39" s="21" t="s">
        <v>43</v>
      </c>
      <c r="C39" s="10">
        <f aca="true" t="shared" si="13" ref="C39:I39">IF(C36&lt;0,0,C36*$J$39)</f>
        <v>0</v>
      </c>
      <c r="D39" s="10">
        <f t="shared" si="13"/>
        <v>0</v>
      </c>
      <c r="E39" s="10">
        <f t="shared" si="13"/>
        <v>0</v>
      </c>
      <c r="F39" s="10">
        <f t="shared" si="13"/>
        <v>11375.473239540252</v>
      </c>
      <c r="G39" s="10">
        <f t="shared" si="13"/>
        <v>36753.47586005191</v>
      </c>
      <c r="H39" s="10">
        <f t="shared" si="13"/>
        <v>33825.39617293515</v>
      </c>
      <c r="I39" s="10">
        <f t="shared" si="13"/>
        <v>24447.413802735195</v>
      </c>
      <c r="J39" s="166">
        <v>0.1</v>
      </c>
    </row>
    <row r="40" spans="2:10" ht="16.5" thickBot="1">
      <c r="B40" s="21" t="s">
        <v>44</v>
      </c>
      <c r="C40" s="10">
        <f>C39</f>
        <v>0</v>
      </c>
      <c r="D40" s="10">
        <f aca="true" t="shared" si="14" ref="D40:I40">+D39+C40</f>
        <v>0</v>
      </c>
      <c r="E40" s="10">
        <f t="shared" si="14"/>
        <v>0</v>
      </c>
      <c r="F40" s="10">
        <f t="shared" si="14"/>
        <v>11375.473239540252</v>
      </c>
      <c r="G40" s="10">
        <f t="shared" si="14"/>
        <v>48128.949099592166</v>
      </c>
      <c r="H40" s="10">
        <f t="shared" si="14"/>
        <v>81954.34527252731</v>
      </c>
      <c r="I40" s="10">
        <f t="shared" si="14"/>
        <v>106401.7590752625</v>
      </c>
      <c r="J40" s="24"/>
    </row>
    <row r="41" spans="3:10" ht="16.5" thickBot="1">
      <c r="C41" s="23"/>
      <c r="D41" s="23"/>
      <c r="E41" s="23"/>
      <c r="F41" s="23"/>
      <c r="G41" s="23"/>
      <c r="H41" s="23"/>
      <c r="I41" s="23"/>
      <c r="J41" s="7"/>
    </row>
    <row r="42" spans="2:10" ht="15.75">
      <c r="B42" s="26" t="s">
        <v>116</v>
      </c>
      <c r="C42" s="70">
        <f>-'CASH FLOWS TABLE'!C29-C35</f>
        <v>453225.6360085574</v>
      </c>
      <c r="D42" s="71">
        <f>-'CASH FLOWS TABLE'!D29-D35</f>
        <v>109022.04533172946</v>
      </c>
      <c r="E42" s="71">
        <f>-'CASH FLOWS TABLE'!E29-E35</f>
        <v>8195.253468448704</v>
      </c>
      <c r="F42" s="71">
        <f>-'CASH FLOWS TABLE'!F29-F35</f>
        <v>-50860.627419916316</v>
      </c>
      <c r="G42" s="71">
        <f>-'CASH FLOWS TABLE'!G29-G35</f>
        <v>-118500.78851307828</v>
      </c>
      <c r="H42" s="71">
        <f>-'CASH FLOWS TABLE'!H29-H35</f>
        <v>-259766.0064114469</v>
      </c>
      <c r="I42" s="72">
        <f>-'CASH FLOWS TABLE'!I29-I35</f>
        <v>-218674.882658603</v>
      </c>
      <c r="J42" s="7"/>
    </row>
    <row r="43" spans="2:10" ht="15.75">
      <c r="B43" s="34" t="s">
        <v>40</v>
      </c>
      <c r="C43" s="154">
        <f aca="true" t="shared" si="15" ref="C43:I43">IF(C36&gt;0,C36+C27,C27)</f>
        <v>100000</v>
      </c>
      <c r="D43" s="12">
        <f t="shared" si="15"/>
        <v>130000</v>
      </c>
      <c r="E43" s="12">
        <f t="shared" si="15"/>
        <v>136000</v>
      </c>
      <c r="F43" s="12">
        <f t="shared" si="15"/>
        <v>251754.7323954025</v>
      </c>
      <c r="G43" s="12">
        <f t="shared" si="15"/>
        <v>517534.7586005191</v>
      </c>
      <c r="H43" s="12">
        <f t="shared" si="15"/>
        <v>392253.9617293515</v>
      </c>
      <c r="I43" s="47">
        <f t="shared" si="15"/>
        <v>298474.13802735193</v>
      </c>
      <c r="J43" s="7"/>
    </row>
    <row r="44" spans="2:10" ht="15.75">
      <c r="B44" s="34" t="s">
        <v>41</v>
      </c>
      <c r="C44" s="67">
        <f>-'CASH FLOWS TABLE'!C24+C39</f>
        <v>30000</v>
      </c>
      <c r="D44" s="68">
        <f>+C44+D39-'CASH FLOWS TABLE'!D24</f>
        <v>30000</v>
      </c>
      <c r="E44" s="68">
        <f>+D44+E39-'CASH FLOWS TABLE'!E24</f>
        <v>30000</v>
      </c>
      <c r="F44" s="68">
        <f>+E44+F39-'CASH FLOWS TABLE'!F24</f>
        <v>41375.47323954025</v>
      </c>
      <c r="G44" s="68">
        <f>+F44+G39-'CASH FLOWS TABLE'!G24</f>
        <v>78128.94909959217</v>
      </c>
      <c r="H44" s="68">
        <f>+G44+H39-'CASH FLOWS TABLE'!H24</f>
        <v>111954.34527252731</v>
      </c>
      <c r="I44" s="69">
        <f>+H44+I39-'CASH FLOWS TABLE'!I24</f>
        <v>136401.7590752625</v>
      </c>
      <c r="J44" s="7"/>
    </row>
    <row r="45" spans="2:10" ht="16.5" thickBot="1">
      <c r="B45" s="51" t="s">
        <v>42</v>
      </c>
      <c r="C45" s="179">
        <f>+'LOAN COST CALCULATION'!E17</f>
        <v>1217521.0470121664</v>
      </c>
      <c r="D45" s="180">
        <f>+'LOAN COST CALCULATION'!E29</f>
        <v>1029491.8220526327</v>
      </c>
      <c r="E45" s="180">
        <f>+'LOAN COST CALCULATION'!E41</f>
        <v>835743.5082882495</v>
      </c>
      <c r="F45" s="180">
        <f>+'LOAN COST CALCULATION'!E53</f>
        <v>636102.1541603442</v>
      </c>
      <c r="G45" s="180">
        <f>+'LOAN COST CALCULATION'!E65</f>
        <v>430388.5172071304</v>
      </c>
      <c r="H45" s="180">
        <f>+'LOAN COST CALCULATION'!E77</f>
        <v>218417.9031358267</v>
      </c>
      <c r="I45" s="181">
        <f>+'LOAN COST CALCULATION'!E89</f>
        <v>4.547473508864641E-10</v>
      </c>
      <c r="J45" s="7"/>
    </row>
    <row r="46" spans="3:10" ht="15.75">
      <c r="C46" s="25"/>
      <c r="H46" s="25"/>
      <c r="J46" s="4"/>
    </row>
    <row r="47" spans="3:10" ht="15.75">
      <c r="C47" s="25"/>
      <c r="D47" s="25"/>
      <c r="E47" s="25"/>
      <c r="F47" s="25"/>
      <c r="G47" s="25"/>
      <c r="H47" s="25"/>
      <c r="I47" s="25"/>
      <c r="J47" s="4"/>
    </row>
    <row r="48" spans="2:10" ht="17.25">
      <c r="B48" s="187" t="s">
        <v>45</v>
      </c>
      <c r="C48" s="188"/>
      <c r="D48" s="188"/>
      <c r="E48" s="188"/>
      <c r="F48" s="188"/>
      <c r="G48" s="188"/>
      <c r="H48" s="188"/>
      <c r="I48" s="188"/>
      <c r="J48" s="4"/>
    </row>
    <row r="49" ht="16.5" thickBot="1">
      <c r="J49" s="4"/>
    </row>
    <row r="50" spans="2:10" ht="16.5" thickBot="1">
      <c r="B50" s="21" t="s">
        <v>46</v>
      </c>
      <c r="J50" s="4"/>
    </row>
    <row r="51" spans="2:10" ht="15.75">
      <c r="B51" s="26" t="s">
        <v>6</v>
      </c>
      <c r="C51" s="183"/>
      <c r="D51" s="129">
        <f aca="true" t="shared" si="16" ref="D51:I51">+(D12/C12)-1</f>
        <v>0.6666666666666667</v>
      </c>
      <c r="E51" s="129">
        <f t="shared" si="16"/>
        <v>0.30000000000000004</v>
      </c>
      <c r="F51" s="129">
        <f t="shared" si="16"/>
        <v>0.3076923076923077</v>
      </c>
      <c r="G51" s="129">
        <f t="shared" si="16"/>
        <v>0.23529411764705888</v>
      </c>
      <c r="H51" s="129">
        <f t="shared" si="16"/>
        <v>0.1428571428571428</v>
      </c>
      <c r="I51" s="130">
        <f t="shared" si="16"/>
        <v>0.11250000000000004</v>
      </c>
      <c r="J51" s="115"/>
    </row>
    <row r="52" spans="2:10" ht="15.75">
      <c r="B52" s="34" t="s">
        <v>47</v>
      </c>
      <c r="C52" s="184"/>
      <c r="D52" s="75">
        <f aca="true" t="shared" si="17" ref="D52:I52">+(D36/C36)-1</f>
        <v>-0.6529134509899683</v>
      </c>
      <c r="E52" s="75">
        <f t="shared" si="17"/>
        <v>-0.9408206754723932</v>
      </c>
      <c r="F52" s="75">
        <f t="shared" si="17"/>
        <v>-15.011829681581405</v>
      </c>
      <c r="G52" s="75">
        <f t="shared" si="17"/>
        <v>2.230940382532809</v>
      </c>
      <c r="H52" s="75">
        <f t="shared" si="17"/>
        <v>-0.07966810263786095</v>
      </c>
      <c r="I52" s="76">
        <f t="shared" si="17"/>
        <v>-0.27724678588402163</v>
      </c>
      <c r="J52" s="115"/>
    </row>
    <row r="53" spans="2:10" ht="15.75">
      <c r="B53" s="34" t="s">
        <v>48</v>
      </c>
      <c r="C53" s="184"/>
      <c r="D53" s="75">
        <f aca="true" t="shared" si="18" ref="D53:I53">+(D26/C26)-1</f>
        <v>-1.12637716123844</v>
      </c>
      <c r="E53" s="75">
        <f t="shared" si="18"/>
        <v>4.07709195036589</v>
      </c>
      <c r="F53" s="75">
        <f t="shared" si="18"/>
        <v>0.7893396752583459</v>
      </c>
      <c r="G53" s="75">
        <f t="shared" si="18"/>
        <v>0.8880074373893068</v>
      </c>
      <c r="H53" s="75">
        <f t="shared" si="18"/>
        <v>0.0758849898029681</v>
      </c>
      <c r="I53" s="76">
        <f t="shared" si="18"/>
        <v>-0.24483254287743117</v>
      </c>
      <c r="J53" s="115"/>
    </row>
    <row r="54" spans="2:10" ht="15.75">
      <c r="B54" s="34" t="s">
        <v>49</v>
      </c>
      <c r="C54" s="184"/>
      <c r="D54" s="75">
        <f aca="true" t="shared" si="19" ref="D54:I54">+(D32/C32)-1</f>
        <v>-0.6786697165001827</v>
      </c>
      <c r="E54" s="75">
        <f t="shared" si="19"/>
        <v>-1.056320805535993</v>
      </c>
      <c r="F54" s="75">
        <f t="shared" si="19"/>
        <v>18.83641618194016</v>
      </c>
      <c r="G54" s="75">
        <f t="shared" si="19"/>
        <v>1.8023552875255695</v>
      </c>
      <c r="H54" s="75">
        <f t="shared" si="19"/>
        <v>0.365511402744926</v>
      </c>
      <c r="I54" s="76">
        <f t="shared" si="19"/>
        <v>-0.2692853473759117</v>
      </c>
      <c r="J54" s="115"/>
    </row>
    <row r="55" spans="2:10" ht="15.75">
      <c r="B55" s="27" t="s">
        <v>50</v>
      </c>
      <c r="C55" s="127">
        <f aca="true" t="shared" si="20" ref="C55:I55">+C36/C12</f>
        <v>-0.6587423516726811</v>
      </c>
      <c r="D55" s="127">
        <f t="shared" si="20"/>
        <v>-0.13718436571729412</v>
      </c>
      <c r="E55" s="127">
        <f t="shared" si="20"/>
        <v>-0.0062449831529981835</v>
      </c>
      <c r="F55" s="127">
        <f t="shared" si="20"/>
        <v>0.06691454846788383</v>
      </c>
      <c r="G55" s="127">
        <f t="shared" si="20"/>
        <v>0.1750165517145329</v>
      </c>
      <c r="H55" s="127">
        <f t="shared" si="20"/>
        <v>0.14093915072056312</v>
      </c>
      <c r="I55" s="128">
        <f t="shared" si="20"/>
        <v>0.09156334757578724</v>
      </c>
      <c r="J55" s="117" t="s">
        <v>104</v>
      </c>
    </row>
    <row r="56" spans="2:10" ht="16.5" thickBot="1">
      <c r="B56" s="35" t="s">
        <v>51</v>
      </c>
      <c r="C56" s="77">
        <f aca="true" t="shared" si="21" ref="C56:I56">+C28/C12</f>
        <v>-0.5811666666666667</v>
      </c>
      <c r="D56" s="77">
        <f t="shared" si="21"/>
        <v>-0.09857</v>
      </c>
      <c r="E56" s="77">
        <f t="shared" si="21"/>
        <v>0.018133076923076877</v>
      </c>
      <c r="F56" s="77">
        <f t="shared" si="21"/>
        <v>0.08678252941176466</v>
      </c>
      <c r="G56" s="77">
        <f t="shared" si="21"/>
        <v>0.1852777761904761</v>
      </c>
      <c r="H56" s="77">
        <f t="shared" si="21"/>
        <v>0.21916319291666664</v>
      </c>
      <c r="I56" s="78">
        <f t="shared" si="21"/>
        <v>0.14381678999999994</v>
      </c>
      <c r="J56" s="117" t="s">
        <v>105</v>
      </c>
    </row>
    <row r="57" spans="3:10" ht="16.5" thickBot="1">
      <c r="C57" s="30"/>
      <c r="D57" s="30"/>
      <c r="E57" s="30"/>
      <c r="F57" s="30"/>
      <c r="G57" s="30"/>
      <c r="H57" s="30"/>
      <c r="I57" s="30"/>
      <c r="J57" s="116"/>
    </row>
    <row r="58" spans="2:9" ht="16.5" thickBot="1">
      <c r="B58" s="9" t="s">
        <v>52</v>
      </c>
      <c r="C58" s="30"/>
      <c r="D58" s="30"/>
      <c r="E58" s="30"/>
      <c r="F58" s="30"/>
      <c r="G58" s="30"/>
      <c r="H58" s="30"/>
      <c r="I58" s="30"/>
    </row>
    <row r="59" spans="2:10" ht="15.75">
      <c r="B59" s="64" t="s">
        <v>53</v>
      </c>
      <c r="C59" s="53"/>
      <c r="D59" s="31">
        <f aca="true" t="shared" si="22" ref="D59:I59">(D5/C5)-1</f>
        <v>-0.7</v>
      </c>
      <c r="E59" s="31">
        <f t="shared" si="22"/>
        <v>-0.76</v>
      </c>
      <c r="F59" s="31">
        <f t="shared" si="22"/>
        <v>-0.7222222222222222</v>
      </c>
      <c r="G59" s="31">
        <f t="shared" si="22"/>
        <v>4</v>
      </c>
      <c r="H59" s="31">
        <f t="shared" si="22"/>
        <v>-0.6252</v>
      </c>
      <c r="I59" s="54">
        <f t="shared" si="22"/>
        <v>-1</v>
      </c>
      <c r="J59" s="4"/>
    </row>
    <row r="60" spans="2:10" ht="16.5" thickBot="1">
      <c r="B60" s="35" t="s">
        <v>54</v>
      </c>
      <c r="C60" s="65" t="str">
        <f aca="true" t="shared" si="23" ref="C60:I60">IF(C5&gt;C27,"Capacité",IF(C5&lt;C27,"Retrait","Maintien"))</f>
        <v>Capacité</v>
      </c>
      <c r="D60" s="65" t="str">
        <f t="shared" si="23"/>
        <v>Capacité</v>
      </c>
      <c r="E60" s="65" t="str">
        <f t="shared" si="23"/>
        <v>Retrait</v>
      </c>
      <c r="F60" s="65" t="str">
        <f t="shared" si="23"/>
        <v>Retrait</v>
      </c>
      <c r="G60" s="65" t="str">
        <f t="shared" si="23"/>
        <v>Retrait</v>
      </c>
      <c r="H60" s="65" t="str">
        <f t="shared" si="23"/>
        <v>Retrait</v>
      </c>
      <c r="I60" s="66" t="str">
        <f t="shared" si="23"/>
        <v>Retrait</v>
      </c>
      <c r="J60" s="32"/>
    </row>
    <row r="61" spans="2:10" ht="15.75" hidden="1" outlineLevel="1">
      <c r="B61" s="39" t="s">
        <v>55</v>
      </c>
      <c r="C61" s="62"/>
      <c r="D61" s="62"/>
      <c r="E61" s="62"/>
      <c r="F61" s="62"/>
      <c r="G61" s="62"/>
      <c r="H61" s="62"/>
      <c r="I61" s="63"/>
      <c r="J61" s="4"/>
    </row>
    <row r="62" spans="2:10" ht="15.75" hidden="1" outlineLevel="1">
      <c r="B62" s="34" t="s">
        <v>0</v>
      </c>
      <c r="C62" s="57"/>
      <c r="D62" s="57"/>
      <c r="E62" s="57"/>
      <c r="F62" s="57"/>
      <c r="G62" s="57"/>
      <c r="H62" s="57"/>
      <c r="I62" s="58"/>
      <c r="J62" s="4"/>
    </row>
    <row r="63" spans="2:10" ht="15.75" hidden="1" outlineLevel="1">
      <c r="B63" s="34" t="s">
        <v>1</v>
      </c>
      <c r="C63" s="33" t="e">
        <f aca="true" t="shared" si="24" ref="C63:I63">+C61/C62</f>
        <v>#DIV/0!</v>
      </c>
      <c r="D63" s="33" t="e">
        <f t="shared" si="24"/>
        <v>#DIV/0!</v>
      </c>
      <c r="E63" s="33" t="e">
        <f t="shared" si="24"/>
        <v>#DIV/0!</v>
      </c>
      <c r="F63" s="33" t="e">
        <f t="shared" si="24"/>
        <v>#DIV/0!</v>
      </c>
      <c r="G63" s="33" t="e">
        <f t="shared" si="24"/>
        <v>#DIV/0!</v>
      </c>
      <c r="H63" s="33" t="e">
        <f t="shared" si="24"/>
        <v>#DIV/0!</v>
      </c>
      <c r="I63" s="55" t="e">
        <f t="shared" si="24"/>
        <v>#DIV/0!</v>
      </c>
      <c r="J63" s="4"/>
    </row>
    <row r="64" spans="2:10" ht="16.5" hidden="1" outlineLevel="1" thickBot="1">
      <c r="B64" s="35" t="s">
        <v>2</v>
      </c>
      <c r="C64" s="36">
        <f aca="true" t="shared" si="25" ref="C64:I64">+C62/C12</f>
        <v>0</v>
      </c>
      <c r="D64" s="36">
        <f t="shared" si="25"/>
        <v>0</v>
      </c>
      <c r="E64" s="36">
        <f t="shared" si="25"/>
        <v>0</v>
      </c>
      <c r="F64" s="36">
        <f t="shared" si="25"/>
        <v>0</v>
      </c>
      <c r="G64" s="36">
        <f t="shared" si="25"/>
        <v>0</v>
      </c>
      <c r="H64" s="36">
        <f t="shared" si="25"/>
        <v>0</v>
      </c>
      <c r="I64" s="56">
        <f t="shared" si="25"/>
        <v>0</v>
      </c>
      <c r="J64" s="4"/>
    </row>
    <row r="65" spans="3:9" ht="16.5" collapsed="1" thickBot="1">
      <c r="C65" s="30"/>
      <c r="D65" s="30"/>
      <c r="E65" s="30"/>
      <c r="F65" s="30"/>
      <c r="G65" s="30"/>
      <c r="H65" s="30"/>
      <c r="I65" s="30"/>
    </row>
    <row r="66" spans="2:11" ht="16.5" thickBot="1">
      <c r="B66" s="9" t="s">
        <v>73</v>
      </c>
      <c r="C66" s="30"/>
      <c r="D66" s="30"/>
      <c r="E66" s="30"/>
      <c r="F66" s="30"/>
      <c r="G66" s="30"/>
      <c r="H66" s="30"/>
      <c r="I66" s="30"/>
      <c r="J66" s="37" t="s">
        <v>56</v>
      </c>
      <c r="K66" s="38" t="s">
        <v>57</v>
      </c>
    </row>
    <row r="67" spans="2:11" ht="15.75">
      <c r="B67" s="39" t="s">
        <v>60</v>
      </c>
      <c r="C67" s="40">
        <f aca="true" t="shared" si="26" ref="C67:I67">ABS(+C45/C26)</f>
        <v>4.895541001255192</v>
      </c>
      <c r="D67" s="40">
        <f t="shared" si="26"/>
        <v>32.75506910762433</v>
      </c>
      <c r="E67" s="40">
        <f t="shared" si="26"/>
        <v>5.237374169115388</v>
      </c>
      <c r="F67" s="40">
        <f t="shared" si="26"/>
        <v>2.2277921263009364</v>
      </c>
      <c r="G67" s="40">
        <f t="shared" si="26"/>
        <v>0.7983710370104201</v>
      </c>
      <c r="H67" s="40">
        <f t="shared" si="26"/>
        <v>0.3765880047414177</v>
      </c>
      <c r="I67" s="40">
        <f t="shared" si="26"/>
        <v>1.0382576996263703E-15</v>
      </c>
      <c r="J67" s="118" t="s">
        <v>3</v>
      </c>
      <c r="K67" s="119">
        <v>5</v>
      </c>
    </row>
    <row r="68" spans="2:11" ht="15.75">
      <c r="B68" s="34" t="s">
        <v>93</v>
      </c>
      <c r="C68" s="41">
        <f>ABS(C28/(C30+C29))</f>
        <v>11.222896277731895</v>
      </c>
      <c r="D68" s="41">
        <f aca="true" t="shared" si="27" ref="D68:I68">ABS(D28/(D30+D29))</f>
        <v>4.265370205562768</v>
      </c>
      <c r="E68" s="41">
        <f t="shared" si="27"/>
        <v>1.4576898818919297</v>
      </c>
      <c r="F68" s="41">
        <f t="shared" si="27"/>
        <v>14.15760691720011</v>
      </c>
      <c r="G68" s="41">
        <f t="shared" si="27"/>
        <v>66.07431643510506</v>
      </c>
      <c r="H68" s="41">
        <f t="shared" si="27"/>
        <v>186.12004602160994</v>
      </c>
      <c r="I68" s="41">
        <f t="shared" si="27"/>
        <v>291.3531000481583</v>
      </c>
      <c r="J68" s="120"/>
      <c r="K68" s="121" t="s">
        <v>4</v>
      </c>
    </row>
    <row r="69" spans="2:11" ht="15.75">
      <c r="B69" s="34" t="s">
        <v>94</v>
      </c>
      <c r="C69" s="28">
        <f>ABS((C29+C30)/C26)</f>
        <v>0.12493128670530232</v>
      </c>
      <c r="D69" s="28">
        <f aca="true" t="shared" si="28" ref="D69:I69">ABS((D29+D30)/D26)</f>
        <v>0.7352645789784957</v>
      </c>
      <c r="E69" s="28">
        <f t="shared" si="28"/>
        <v>0.10134219510128648</v>
      </c>
      <c r="F69" s="28">
        <f t="shared" si="28"/>
        <v>0.036495487885514884</v>
      </c>
      <c r="G69" s="28">
        <f t="shared" si="28"/>
        <v>0.010923304564956111</v>
      </c>
      <c r="H69" s="28">
        <f t="shared" si="28"/>
        <v>0.004872635875653051</v>
      </c>
      <c r="I69" s="28">
        <f t="shared" si="28"/>
        <v>0.003009097027666547</v>
      </c>
      <c r="J69" s="122" t="s">
        <v>96</v>
      </c>
      <c r="K69" s="121" t="s">
        <v>5</v>
      </c>
    </row>
    <row r="70" spans="2:11" ht="15.75">
      <c r="B70" s="34" t="s">
        <v>61</v>
      </c>
      <c r="C70" s="42">
        <f aca="true" t="shared" si="29" ref="C70:I70">ABS(C45/C44)</f>
        <v>40.58403490040555</v>
      </c>
      <c r="D70" s="42">
        <f t="shared" si="29"/>
        <v>34.31639406842109</v>
      </c>
      <c r="E70" s="42">
        <f t="shared" si="29"/>
        <v>27.85811694294165</v>
      </c>
      <c r="F70" s="42">
        <f t="shared" si="29"/>
        <v>15.373894347447765</v>
      </c>
      <c r="G70" s="42">
        <f t="shared" si="29"/>
        <v>5.508694564143024</v>
      </c>
      <c r="H70" s="42">
        <f t="shared" si="29"/>
        <v>1.9509551201799105</v>
      </c>
      <c r="I70" s="42">
        <f t="shared" si="29"/>
        <v>3.3338818646433135E-15</v>
      </c>
      <c r="J70" s="120" t="s">
        <v>3</v>
      </c>
      <c r="K70" s="121" t="s">
        <v>97</v>
      </c>
    </row>
    <row r="71" spans="2:11" ht="15.75">
      <c r="B71" s="59" t="s">
        <v>95</v>
      </c>
      <c r="C71" s="43">
        <f>(C29+C30)/C12</f>
        <v>0.05178401833934781</v>
      </c>
      <c r="D71" s="43">
        <f aca="true" t="shared" si="30" ref="D71:I71">(D29+D30)/D12</f>
        <v>0.02310936571729412</v>
      </c>
      <c r="E71" s="43">
        <f t="shared" si="30"/>
        <v>0.012439598537613523</v>
      </c>
      <c r="F71" s="43">
        <f t="shared" si="30"/>
        <v>0.006129745649763193</v>
      </c>
      <c r="G71" s="43">
        <f t="shared" si="30"/>
        <v>0.0028040816188003525</v>
      </c>
      <c r="H71" s="43">
        <f t="shared" si="30"/>
        <v>0.0011775367436306142</v>
      </c>
      <c r="I71" s="43">
        <f t="shared" si="30"/>
        <v>0.0004936168174501257</v>
      </c>
      <c r="J71" s="123" t="s">
        <v>98</v>
      </c>
      <c r="K71" s="124" t="s">
        <v>99</v>
      </c>
    </row>
    <row r="72" spans="2:11" ht="16.5" thickBot="1">
      <c r="B72" s="35" t="s">
        <v>62</v>
      </c>
      <c r="C72" s="44">
        <f aca="true" t="shared" si="31" ref="C72:I72">ABS(C45/C43)</f>
        <v>12.175210470121664</v>
      </c>
      <c r="D72" s="44">
        <f t="shared" si="31"/>
        <v>7.919167861943328</v>
      </c>
      <c r="E72" s="44">
        <f t="shared" si="31"/>
        <v>6.145172855060658</v>
      </c>
      <c r="F72" s="44">
        <f t="shared" si="31"/>
        <v>2.526674069273466</v>
      </c>
      <c r="G72" s="44">
        <f t="shared" si="31"/>
        <v>0.8316127758664106</v>
      </c>
      <c r="H72" s="44">
        <f t="shared" si="31"/>
        <v>0.5568277810958894</v>
      </c>
      <c r="I72" s="44">
        <f t="shared" si="31"/>
        <v>1.5235737135952175E-15</v>
      </c>
      <c r="J72" s="125" t="s">
        <v>58</v>
      </c>
      <c r="K72" s="126" t="s">
        <v>59</v>
      </c>
    </row>
    <row r="73" spans="3:9" ht="16.5" thickBot="1">
      <c r="C73" s="30"/>
      <c r="D73" s="30"/>
      <c r="E73" s="30"/>
      <c r="F73" s="30"/>
      <c r="G73" s="30"/>
      <c r="H73" s="30"/>
      <c r="I73" s="30"/>
    </row>
    <row r="74" spans="2:9" ht="16.5" thickBot="1">
      <c r="B74" s="9" t="s">
        <v>63</v>
      </c>
      <c r="C74" s="30"/>
      <c r="D74" s="30"/>
      <c r="E74" s="30"/>
      <c r="F74" s="30"/>
      <c r="G74" s="30"/>
      <c r="H74" s="30"/>
      <c r="I74" s="30"/>
    </row>
    <row r="75" spans="2:9" ht="15.75">
      <c r="B75" s="39" t="s">
        <v>64</v>
      </c>
      <c r="C75" s="45">
        <f aca="true" t="shared" si="32" ref="C75:I75">C26/(C44+C45)</f>
        <v>-0.19935535404043134</v>
      </c>
      <c r="D75" s="45">
        <f t="shared" si="32"/>
        <v>0.029665165266786402</v>
      </c>
      <c r="E75" s="45">
        <f t="shared" si="32"/>
        <v>0.184319025753376</v>
      </c>
      <c r="F75" s="45">
        <f t="shared" si="32"/>
        <v>0.42146085487110013</v>
      </c>
      <c r="G75" s="45">
        <f t="shared" si="32"/>
        <v>1.060107795146688</v>
      </c>
      <c r="H75" s="45">
        <f t="shared" si="32"/>
        <v>1.7555701660603944</v>
      </c>
      <c r="I75" s="61">
        <f t="shared" si="32"/>
        <v>3.211035050202893</v>
      </c>
    </row>
    <row r="76" spans="2:9" ht="16.5" thickBot="1">
      <c r="B76" s="35" t="s">
        <v>65</v>
      </c>
      <c r="C76" s="29">
        <f aca="true" t="shared" si="33" ref="C76:I76">C36/C44</f>
        <v>-13.174847033453622</v>
      </c>
      <c r="D76" s="29">
        <f t="shared" si="33"/>
        <v>-4.57281219057647</v>
      </c>
      <c r="E76" s="29">
        <f t="shared" si="33"/>
        <v>-0.2706159366299213</v>
      </c>
      <c r="F76" s="29">
        <f t="shared" si="33"/>
        <v>2.7493276448302564</v>
      </c>
      <c r="G76" s="29">
        <f t="shared" si="33"/>
        <v>4.704207119591701</v>
      </c>
      <c r="H76" s="29">
        <f t="shared" si="33"/>
        <v>3.021356258267148</v>
      </c>
      <c r="I76" s="52">
        <f t="shared" si="33"/>
        <v>1.7923092758096928</v>
      </c>
    </row>
    <row r="77" spans="2:11" ht="16.5" thickBot="1">
      <c r="B77" s="174" t="s">
        <v>117</v>
      </c>
      <c r="C77" s="175">
        <f>+IF(C37&gt;0,((C37*$K$77)+'CASH FLOWS TABLE'!$C$22)/'LOAN COST CALCULATION'!$B$1,'CASH FLOWS TABLE'!$C$22/'LOAN COST CALCULATION'!$B$1)</f>
        <v>0.02183600785972049</v>
      </c>
      <c r="D77" s="175">
        <f>IF(D37&gt;0,((+D37*$K$77)+SUM('CASH FLOWS TABLE'!$C$22:D22))/'LOAN COST CALCULATION'!$B$1,SUM('CASH FLOWS TABLE'!$C$22:D22)/'LOAN COST CALCULATION'!$B$1)</f>
        <v>0.03797841194350201</v>
      </c>
      <c r="E77" s="175">
        <f>IF(E37&gt;0,((+E37*$K$77)+SUM('CASH FLOWS TABLE'!$C$22:E22))/'LOAN COST CALCULATION'!$B$1,SUM('CASH FLOWS TABLE'!$C$22:E22)/'LOAN COST CALCULATION'!$B$1)</f>
        <v>0.04915446772842885</v>
      </c>
      <c r="F77" s="175">
        <f>IF(F37&gt;0,((+F37*$K$77)+SUM('CASH FLOWS TABLE'!$C$22:F22))/'LOAN COST CALCULATION'!$B$1,SUM('CASH FLOWS TABLE'!$C$22:F22)/'LOAN COST CALCULATION'!$B$1)</f>
        <v>0.05616915887456987</v>
      </c>
      <c r="G77" s="175">
        <f>IF(G37&gt;0,((+G37*$K$77)+SUM('CASH FLOWS TABLE'!$C$22:G22))/'LOAN COST CALCULATION'!$B$1,SUM('CASH FLOWS TABLE'!$C$22:G22)/'LOAN COST CALCULATION'!$B$1)</f>
        <v>0.059910995588484686</v>
      </c>
      <c r="H77" s="175">
        <f>IF(H37&gt;0,((+H37*$K$77)+SUM('CASH FLOWS TABLE'!$C$22:H22))/'LOAN COST CALCULATION'!$B$1,SUM('CASH FLOWS TABLE'!$C$22:H22)/'LOAN COST CALCULATION'!$B$1)</f>
        <v>0.17096345775471578</v>
      </c>
      <c r="I77" s="176">
        <f>IF(I37&gt;0,((+I37*$K$77)+SUM('CASH FLOWS TABLE'!$C$22:I22))/'LOAN COST CALCULATION'!$B$1,SUM('CASH FLOWS TABLE'!$C$22:I22)/'LOAN COST CALCULATION'!$B$1)</f>
        <v>0.2672339811958839</v>
      </c>
      <c r="J77" s="173" t="s">
        <v>118</v>
      </c>
      <c r="K77" s="177">
        <v>0.55</v>
      </c>
    </row>
    <row r="78" spans="3:9" ht="16.5" thickBot="1">
      <c r="C78" s="30"/>
      <c r="D78" s="30"/>
      <c r="E78" s="30"/>
      <c r="F78" s="30"/>
      <c r="G78" s="30"/>
      <c r="H78" s="30"/>
      <c r="I78" s="178"/>
    </row>
    <row r="79" spans="2:9" ht="16.5" thickBot="1">
      <c r="B79" s="9" t="s">
        <v>66</v>
      </c>
      <c r="C79" s="30"/>
      <c r="D79" s="30"/>
      <c r="E79" s="30"/>
      <c r="F79" s="30"/>
      <c r="G79" s="30"/>
      <c r="H79" s="30"/>
      <c r="I79" s="30"/>
    </row>
    <row r="80" spans="2:9" ht="15.75">
      <c r="B80" s="39" t="s">
        <v>68</v>
      </c>
      <c r="C80" s="158">
        <v>995245</v>
      </c>
      <c r="D80" s="158">
        <v>1137184</v>
      </c>
      <c r="E80" s="158">
        <v>1308118</v>
      </c>
      <c r="F80" s="158">
        <v>1586245</v>
      </c>
      <c r="G80" s="158">
        <v>1732465</v>
      </c>
      <c r="H80" s="158">
        <v>1892644</v>
      </c>
      <c r="I80" s="159">
        <v>2303307</v>
      </c>
    </row>
    <row r="81" spans="1:14" s="3" customFormat="1" ht="16.5" thickBot="1">
      <c r="A81" s="2"/>
      <c r="B81" s="60" t="s">
        <v>67</v>
      </c>
      <c r="C81" s="73">
        <f aca="true" t="shared" si="34" ref="C81:I81">(C12/C80)-1</f>
        <v>-0.3971333691704053</v>
      </c>
      <c r="D81" s="73">
        <f t="shared" si="34"/>
        <v>-0.12063483130258601</v>
      </c>
      <c r="E81" s="73">
        <f t="shared" si="34"/>
        <v>-0.006205862162282028</v>
      </c>
      <c r="F81" s="73">
        <f t="shared" si="34"/>
        <v>0.07171338601540111</v>
      </c>
      <c r="G81" s="73">
        <f t="shared" si="34"/>
        <v>0.21214569991312948</v>
      </c>
      <c r="H81" s="73">
        <f t="shared" si="34"/>
        <v>0.2680673174669932</v>
      </c>
      <c r="I81" s="74">
        <f t="shared" si="34"/>
        <v>0.1592028331438231</v>
      </c>
      <c r="J81" s="117" t="s">
        <v>115</v>
      </c>
      <c r="K81" s="5"/>
      <c r="L81" s="5"/>
      <c r="M81" s="5"/>
      <c r="N81" s="5"/>
    </row>
    <row r="84" ht="15.75"/>
    <row r="85" ht="15.75"/>
  </sheetData>
  <sheetProtection password="E9C9" sheet="1" objects="1" scenarios="1" selectLockedCells="1"/>
  <mergeCells count="4">
    <mergeCell ref="C51:C54"/>
    <mergeCell ref="C1:I1"/>
    <mergeCell ref="L35:M35"/>
    <mergeCell ref="B48:I48"/>
  </mergeCells>
  <conditionalFormatting sqref="C42:I42 D52:I54">
    <cfRule type="cellIs" priority="17" dxfId="0" operator="lessThan" stopIfTrue="1">
      <formula>0</formula>
    </cfRule>
  </conditionalFormatting>
  <conditionalFormatting sqref="C81:I81">
    <cfRule type="cellIs" priority="1" dxfId="3" operator="greaterThan" stopIfTrue="1">
      <formula>0.05</formula>
    </cfRule>
    <cfRule type="cellIs" priority="16" dxfId="0" operator="lessThan" stopIfTrue="1">
      <formula>0</formula>
    </cfRule>
  </conditionalFormatting>
  <conditionalFormatting sqref="C67:I67">
    <cfRule type="cellIs" priority="15" dxfId="0" operator="greaterThan" stopIfTrue="1">
      <formula>5</formula>
    </cfRule>
  </conditionalFormatting>
  <conditionalFormatting sqref="C68:I68">
    <cfRule type="cellIs" priority="14" dxfId="0" operator="lessThan" stopIfTrue="1">
      <formula>3</formula>
    </cfRule>
  </conditionalFormatting>
  <conditionalFormatting sqref="C69:I69">
    <cfRule type="cellIs" priority="13" dxfId="0" operator="greaterThan" stopIfTrue="1">
      <formula>0.5</formula>
    </cfRule>
  </conditionalFormatting>
  <conditionalFormatting sqref="C70:I70">
    <cfRule type="cellIs" priority="12" dxfId="0" operator="greaterThan" stopIfTrue="1">
      <formula>6</formula>
    </cfRule>
  </conditionalFormatting>
  <conditionalFormatting sqref="C71:I71">
    <cfRule type="cellIs" priority="11" dxfId="0" operator="greaterThan" stopIfTrue="1">
      <formula>0.03</formula>
    </cfRule>
  </conditionalFormatting>
  <conditionalFormatting sqref="C72:I72">
    <cfRule type="cellIs" priority="10" dxfId="0" operator="greaterThan" stopIfTrue="1">
      <formula>4</formula>
    </cfRule>
  </conditionalFormatting>
  <conditionalFormatting sqref="C77:I77">
    <cfRule type="cellIs" priority="2" dxfId="0" operator="lessThan" stopIfTrue="1">
      <formula>0.05</formula>
    </cfRule>
    <cfRule type="cellIs" priority="9" dxfId="3" operator="greaterThan" stopIfTrue="1">
      <formula>0.05</formula>
    </cfRule>
  </conditionalFormatting>
  <conditionalFormatting sqref="D51:I51">
    <cfRule type="cellIs" priority="8" dxfId="0" operator="lessThan" stopIfTrue="1">
      <formula>0.025</formula>
    </cfRule>
  </conditionalFormatting>
  <conditionalFormatting sqref="C55:I55">
    <cfRule type="cellIs" priority="4" dxfId="0" operator="lessThan" stopIfTrue="1">
      <formula>0.03</formula>
    </cfRule>
  </conditionalFormatting>
  <conditionalFormatting sqref="C56:I56">
    <cfRule type="cellIs" priority="3" dxfId="0" operator="lessThan" stopIfTrue="1">
      <formula>0.1</formula>
    </cfRule>
  </conditionalFormatting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54"/>
  <headerFooter alignWithMargins="0">
    <oddHeader>&amp;C&amp;"Arial,Gras"&amp;F \&amp;A</oddHeader>
    <oddFooter>&amp;L(c) Batsela H.G llp
2015&amp;R&amp;D &amp;T</oddFooter>
  </headerFooter>
  <rowBreaks count="1" manualBreakCount="1">
    <brk id="46" max="9" man="1"/>
  </rowBreaks>
  <ignoredErrors>
    <ignoredError sqref="C5:I5" formulaRange="1"/>
    <ignoredError sqref="C42:I42 C44:I44 C45:I45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Nzali</dc:creator>
  <cp:keywords/>
  <dc:description/>
  <cp:lastModifiedBy>Utilisateur de Microsoft Office</cp:lastModifiedBy>
  <cp:lastPrinted>2015-04-22T09:39:27Z</cp:lastPrinted>
  <dcterms:created xsi:type="dcterms:W3CDTF">2010-08-28T15:38:30Z</dcterms:created>
  <dcterms:modified xsi:type="dcterms:W3CDTF">2017-04-08T18:15:50Z</dcterms:modified>
  <cp:category/>
  <cp:version/>
  <cp:contentType/>
  <cp:contentStatus/>
</cp:coreProperties>
</file>